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trlProps/ctrlProp8.xml" ContentType="application/vnd.ms-excel.controlproperties+xml"/>
  <Override PartName="/xl/ctrlProps/ctrlProp58.xml" ContentType="application/vnd.ms-excel.controlproperties+xml"/>
  <Override PartName="/xl/ctrlProps/ctrlProp19.xml" ContentType="application/vnd.ms-excel.controlproperties+xml"/>
  <Override PartName="/xl/ctrlProps/ctrlProp7.xml" ContentType="application/vnd.ms-excel.controlproperties+xml"/>
  <Override PartName="/xl/ctrlProps/ctrlProp9.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2.xml" ContentType="application/vnd.ms-excel.controlproperties+xml"/>
  <Override PartName="/xl/ctrlProps/ctrlProp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xl/comments5.xml" ContentType="application/vnd.openxmlformats-officedocument.spreadsheetml.comments+xml"/>
  <Override PartName="/xl/ctrlProps/ctrlProp4.xml" ContentType="application/vnd.ms-excel.controlproperties+xml"/>
  <Override PartName="/xl/ctrlProps/ctrlProp3.xml" ContentType="application/vnd.ms-excel.controlproperties+xml"/>
  <Override PartName="/xl/comments4.xml" ContentType="application/vnd.openxmlformats-officedocument.spreadsheetml.comments+xml"/>
  <Override PartName="/xl/ctrlProps/ctrlProp6.xml" ContentType="application/vnd.ms-excel.controlproperties+xml"/>
  <Override PartName="/xl/ctrlProps/ctrlProp54.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trlProps/ctrlProp17.xml" ContentType="application/vnd.ms-excel.controlproperties+xml"/>
  <Override PartName="/xl/ctrlProps/ctrlProp16.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3.xml" ContentType="application/vnd.openxmlformats-officedocument.spreadsheetml.comments+xml"/>
  <Override PartName="/xl/ctrlProps/ctrlProp13.xml" ContentType="application/vnd.ms-excel.controlproperties+xml"/>
  <Override PartName="/xl/ctrlProps/ctrlProp12.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1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xl/ctrlProps/ctrlProp15.xml" ContentType="application/vnd.ms-excel.controlproperties+xml"/>
  <Override PartName="/xl/ctrlProps/ctrlProp18.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735" yWindow="405" windowWidth="12870" windowHeight="7230" tabRatio="892" activeTab="11"/>
  </bookViews>
  <sheets>
    <sheet name="Start" sheetId="2" r:id="rId1"/>
    <sheet name="Straw" sheetId="3" r:id="rId2"/>
    <sheet name="Rape straw" sheetId="31" r:id="rId3"/>
    <sheet name="Meadow grass" sheetId="38" r:id="rId4"/>
    <sheet name="Results -straw" sheetId="10" r:id="rId5"/>
    <sheet name="Results rape straw" sheetId="36" r:id="rId6"/>
    <sheet name="Results  meadow grass" sheetId="9" r:id="rId7"/>
    <sheet name="Straw print" sheetId="37" r:id="rId8"/>
    <sheet name="Rape print" sheetId="40" r:id="rId9"/>
    <sheet name="meadow grass print" sheetId="41" r:id="rId10"/>
    <sheet name="Cases Eng" sheetId="42" r:id="rId11"/>
    <sheet name="Normer" sheetId="35" r:id="rId12"/>
    <sheet name="Tabeller" sheetId="8" r:id="rId13"/>
  </sheets>
  <externalReferences>
    <externalReference r:id="rId14"/>
  </externalReferences>
  <definedNames>
    <definedName name="AFSKRIVNING" localSheetId="5">Normer!$T$5</definedName>
    <definedName name="Afskrivning">Normer!$T$5</definedName>
    <definedName name="AfstandAnlæg">Straw!$C$35</definedName>
    <definedName name="AfstandLager">Straw!$C$20</definedName>
    <definedName name="AnlægKMperTIME">Straw!$C$39</definedName>
    <definedName name="AnlægTransportKapNY">Straw!$C$38</definedName>
    <definedName name="AntalEkBr">'Results -straw'!$B$9</definedName>
    <definedName name="BalleKapTon">Straw!$C$23</definedName>
    <definedName name="Bigballe_Kap_1mand_Ton">Normer!$C$14</definedName>
    <definedName name="Bigballevægt">Normer!$N$27</definedName>
    <definedName name="Br_driftogvedlige">Normer!$T$15</definedName>
    <definedName name="Br_Forsik">Normer!$T$16</definedName>
    <definedName name="Br_installation">Normer!$T$10</definedName>
    <definedName name="Br_Levetid">Normer!$T$18</definedName>
    <definedName name="Br_Ydelse">Normer!$T$20</definedName>
    <definedName name="BrAflæsKap">Normer!$I$14</definedName>
    <definedName name="BrAfstand">Straw!$AA$22</definedName>
    <definedName name="BrAntal">'Results -straw'!$F$9</definedName>
    <definedName name="Briketpresser">Normer!$T$9</definedName>
    <definedName name="BrKap">Straw!$B$61</definedName>
    <definedName name="BrLæsseKap">Normer!$I$17</definedName>
    <definedName name="BrLæssetimepris">Normer!$I$16</definedName>
    <definedName name="BrPrisSamlet">Normer!$T$11</definedName>
    <definedName name="BrTipKap">Straw!$AA$25</definedName>
    <definedName name="BrTipvogn">Straw!$AA$23</definedName>
    <definedName name="DensBr" comment="Density briquette">Normer!$N$36</definedName>
    <definedName name="Densitet_bigballe">Normer!$N$28</definedName>
    <definedName name="Distance">'Straw print'!$J$20</definedName>
    <definedName name="DistanceBrSt" comment="Distance to briquetting station">Straw!$C$40</definedName>
    <definedName name="Efgr">[1]Data!$B$26:$BB$32</definedName>
    <definedName name="Elpris">Normer!$Y$9</definedName>
    <definedName name="Elprocent">Normer!$Y$7</definedName>
    <definedName name="EnergiMetan">Normer!$Y$6</definedName>
    <definedName name="Energipris">Normer!$Y$5</definedName>
    <definedName name="EngAfstand">'Meadow grass'!$C$29</definedName>
    <definedName name="EngHast">'Meadow grass'!$C$33</definedName>
    <definedName name="EngLæsse">'Meadow grass'!$C$38</definedName>
    <definedName name="EngTransKap">'Meadow grass'!$C$32</definedName>
    <definedName name="EngTransPris">'Meadow grass'!$C$30</definedName>
    <definedName name="Ex_driftogVedlige">Normer!$T$29</definedName>
    <definedName name="EX_forsik">Normer!$T$30</definedName>
    <definedName name="Ex_kap">Normer!$T$31</definedName>
    <definedName name="EX_LAGER" localSheetId="3">'Results -straw'!#REF!</definedName>
    <definedName name="EX_LAGER" localSheetId="5">'Results rape straw'!$B$7</definedName>
    <definedName name="EX_LAGER">'Results -straw'!#REF!</definedName>
    <definedName name="Ex_levetid">Normer!$T$32</definedName>
    <definedName name="Ex_pris">Normer!$T$26</definedName>
    <definedName name="Ex_Ydelse">Normer!$T$35</definedName>
    <definedName name="ExafEng">'Meadow grass'!$AG$4</definedName>
    <definedName name="ExEngUdnytKap">'Meadow grass'!$M$8</definedName>
    <definedName name="ExYdelseEng">'Meadow grass'!$L$15</definedName>
    <definedName name="F_kapacitet_baller_1mand" localSheetId="11">Normer!$C$13</definedName>
    <definedName name="F_Storballepresser" localSheetId="11">Normer!$N$18</definedName>
    <definedName name="F_Traktor_Vogn_1mand" localSheetId="3">#REF!</definedName>
    <definedName name="F_Traktor_Vogn_1mand">#REF!</definedName>
    <definedName name="Finsnitgræs">Normer!$N$8</definedName>
    <definedName name="Frontlæsse_hast">Normer!$I$12</definedName>
    <definedName name="Frontlæssehast_mark">Normer!$I$11</definedName>
    <definedName name="Halm">Tabeller!$H$1:$N$21</definedName>
    <definedName name="HalmlæssehastMark">Straw!$C$24</definedName>
    <definedName name="Hammermølle">Normer!$T$8</definedName>
    <definedName name="Hdg">[1]Data!$B$51:$G$88</definedName>
    <definedName name="Høst2">[1]Data!$B$91:$C$92</definedName>
    <definedName name="HøstprisVådEng">'Meadow grass'!$C$22</definedName>
    <definedName name="Jordtyper">[1]Data!$B$41:$C$45</definedName>
    <definedName name="KapBigballer">Straw!$C$22</definedName>
    <definedName name="L_Tipvogn">Normer!$C$26</definedName>
    <definedName name="LAGER_AFSKRIVNING">'Rape straw'!#REF!</definedName>
    <definedName name="LAGER_KAPACITET">'Rape straw'!#REF!</definedName>
    <definedName name="LAGER_LEVETID">'Rape straw'!#REF!</definedName>
    <definedName name="LAGER_LÅN_LØBETID">Normer!$T$34</definedName>
    <definedName name="LAGER_PRIS">'Rape straw'!#REF!</definedName>
    <definedName name="LAGER_RENTE">'Rape straw'!#REF!</definedName>
    <definedName name="LAGER_UDNYTTELSE">'Rape straw'!#REF!</definedName>
    <definedName name="LagerEng">'Meadow grass'!$AG$7</definedName>
    <definedName name="LagerPrisVådEng">'Meadow grass'!$G$10</definedName>
    <definedName name="Lagertype">Straw!$AL$1</definedName>
    <definedName name="Lagring2">[1]Data!$B$95:$C$98</definedName>
    <definedName name="Lastbil2_tonlæs">Normer!$C$27</definedName>
    <definedName name="Lastbil2Vogn">Normer!$C$17</definedName>
    <definedName name="Lastbil3">Normer!$C$20</definedName>
    <definedName name="lastbil3_tonlæs">Normer!$C$21</definedName>
    <definedName name="Lastbil4_tonlæs">Normer!$C$23</definedName>
    <definedName name="Lastbil5">Normer!#REF!</definedName>
    <definedName name="Lastbil5_tonlæs">Normer!#REF!</definedName>
    <definedName name="LastbilHast">Normer!$C$32</definedName>
    <definedName name="LæsFrontBig">Normer!$I$13</definedName>
    <definedName name="LæsseAnlægPris">Straw!$C$44</definedName>
    <definedName name="LæsseHastAnlæg">Straw!$C$45</definedName>
    <definedName name="LæsseHastLand">Straw!$C$30</definedName>
    <definedName name="LæsseLandPris">Straw!$C$29</definedName>
    <definedName name="LæsseTeleBig">Normer!$I$21</definedName>
    <definedName name="Løbetid10">Normer!$N$41</definedName>
    <definedName name="MARK_STØRRELSE">Straw!$C$5</definedName>
    <definedName name="MarktilPresse">Straw!$AA$5</definedName>
    <definedName name="MetanBr">Normer!$Y$15</definedName>
    <definedName name="MetanEng">Normer!$Y$17</definedName>
    <definedName name="MetanEngEx">Normer!$Y$18</definedName>
    <definedName name="MetanEx">Normer!$Y$16</definedName>
    <definedName name="MetanHvedehalm">Normer!$Y$14</definedName>
    <definedName name="MetanRaps">Normer!$Y$20</definedName>
    <definedName name="MetanRapsBR">Normer!$Y$21</definedName>
    <definedName name="MetanRapsEX">Normer!$Y$22</definedName>
    <definedName name="Pligtig2">[1]Data!$B$36:$C$37</definedName>
    <definedName name="PresserKap">Normer!$T$17</definedName>
    <definedName name="Pressing_bigbale">Normer!$N$19</definedName>
    <definedName name="Raps_læssehastAnlæg">'Rape straw'!$A$26</definedName>
    <definedName name="Raps_Transanlæg">'Rape straw'!$C$31</definedName>
    <definedName name="RapsAfstandLager">'Rape straw'!$C$16</definedName>
    <definedName name="RapsAnlægTransKap">'Rape straw'!$C$33</definedName>
    <definedName name="Rapsbehandling">'Rape straw'!$AR$4</definedName>
    <definedName name="Rapsforb">'Results rape straw'!#REF!</definedName>
    <definedName name="RapsHøstudbytte">'Rape straw'!$C$4</definedName>
    <definedName name="RapslæsseAnlæg">'Rape straw'!$C$38</definedName>
    <definedName name="RapsLæsseHastAnlæg">'Rape straw'!$C$39</definedName>
    <definedName name="RapsLæsseHastLand">'Rape straw'!$C$26</definedName>
    <definedName name="RapsLæsselandmandPris">'Rape straw'!$C$25</definedName>
    <definedName name="RapsTransAfstand">'Rape straw'!$C$30</definedName>
    <definedName name="RapsTransHast">'Rape straw'!$C$34</definedName>
    <definedName name="Rente">Normer!$N$40</definedName>
    <definedName name="Rundballevægt">'Meadow grass'!$C$9</definedName>
    <definedName name="Storballevægt">Normer!$N$27</definedName>
    <definedName name="StrawStoreFac" comment="Store at facility">Straw!$T$38</definedName>
    <definedName name="StrawStoreFarm">Straw!$T$25</definedName>
    <definedName name="StrawYield">Straw!$C$4</definedName>
    <definedName name="T_Tipvogn" localSheetId="3">#REF!</definedName>
    <definedName name="T_Tipvogn">#REF!</definedName>
    <definedName name="Tedding">Straw!$C$16</definedName>
    <definedName name="Teleskoplæsser">Normer!$I$16</definedName>
    <definedName name="Traktor_Hastighed_mark">Normer!$C$30</definedName>
    <definedName name="TraktorFrontVogn" localSheetId="11">Normer!$C$12</definedName>
    <definedName name="TraktorHalmvogn">Normer!$C$6</definedName>
    <definedName name="TraktorHastVej">Normer!$C$31</definedName>
    <definedName name="TraktorPrisLager">Straw!$C$21</definedName>
    <definedName name="TransAnlægKap">Straw!$C$37</definedName>
    <definedName name="TransAnlægPris">Straw!$C$36</definedName>
    <definedName name="TransBrStPris" localSheetId="3">Straw!#REF!</definedName>
    <definedName name="TransBrStPris" localSheetId="5">Straw!#REF!</definedName>
    <definedName name="TransBrStPris">Straw!#REF!</definedName>
    <definedName name="Transport_Hast">Straw!$C$39</definedName>
    <definedName name="Transport2">[1]Data!$B$101:$C$102</definedName>
    <definedName name="Treatment">Straw!$AL$4</definedName>
    <definedName name="UDBYTTE_PR_HA">Straw!$C$6</definedName>
    <definedName name="UdbytVaadEng">'Meadow grass'!$C$4</definedName>
    <definedName name="UdnytForbRaps">'Rape straw'!$H$5</definedName>
    <definedName name="Varmepris">Normer!$Y$10</definedName>
    <definedName name="Varmeprocent">Normer!$Y$8</definedName>
    <definedName name="VS">Straw!$C$8</definedName>
    <definedName name="VSEng">'Meadow grass'!$C$8</definedName>
    <definedName name="VSraps">'Rape straw'!$C$8</definedName>
    <definedName name="YD_PR_ÅR" localSheetId="3">'Results -straw'!#REF!</definedName>
    <definedName name="YD_PR_ÅR" localSheetId="5">'Results rape straw'!$B$9</definedName>
    <definedName name="YD_PR_ÅR">'Results -straw'!#REF!</definedName>
    <definedName name="YDELSE_PR_ÅR" localSheetId="3">'Results -straw'!#REF!</definedName>
    <definedName name="YDELSE_PR_ÅR" localSheetId="5">'Results rape straw'!$B$9</definedName>
    <definedName name="YDELSE_PR_ÅR">'Results -straw'!#REF!</definedName>
    <definedName name="YdelseMaskiner">'Results -straw'!$B$13</definedName>
  </definedNames>
  <calcPr calcId="145621" iterate="1" iterateCount="1000"/>
</workbook>
</file>

<file path=xl/calcChain.xml><?xml version="1.0" encoding="utf-8"?>
<calcChain xmlns="http://schemas.openxmlformats.org/spreadsheetml/2006/main">
  <c r="H13" i="35" l="1"/>
  <c r="H10" i="35"/>
  <c r="I10" i="35"/>
  <c r="H9" i="35"/>
  <c r="I9" i="35"/>
  <c r="H7" i="35"/>
  <c r="B22" i="10"/>
  <c r="B8" i="37"/>
  <c r="A28" i="37"/>
  <c r="A27" i="37"/>
  <c r="A26" i="37"/>
  <c r="A2" i="37"/>
  <c r="B3" i="9"/>
  <c r="F9" i="38" l="1"/>
  <c r="A38" i="38"/>
  <c r="A8" i="38"/>
  <c r="A7" i="38"/>
  <c r="A6" i="38"/>
  <c r="A4" i="38"/>
  <c r="A5" i="38"/>
  <c r="A3" i="38"/>
  <c r="A36" i="31"/>
  <c r="L16" i="31"/>
  <c r="L9" i="31"/>
  <c r="L10" i="31"/>
  <c r="L11" i="31"/>
  <c r="L12" i="31"/>
  <c r="L8" i="31"/>
  <c r="L4" i="31"/>
  <c r="L5" i="31"/>
  <c r="L6" i="31"/>
  <c r="L3" i="31"/>
  <c r="H22" i="31"/>
  <c r="H21" i="31"/>
  <c r="F19" i="31"/>
  <c r="F20" i="31"/>
  <c r="F21" i="31"/>
  <c r="F22" i="31"/>
  <c r="F18" i="31"/>
  <c r="F17" i="31"/>
  <c r="F16" i="31"/>
  <c r="G13" i="31"/>
  <c r="G14" i="31"/>
  <c r="F14" i="31"/>
  <c r="F13" i="31"/>
  <c r="F12" i="31"/>
  <c r="F11" i="31"/>
  <c r="F10" i="31"/>
  <c r="F9" i="31"/>
  <c r="A23" i="31"/>
  <c r="A21" i="31"/>
  <c r="A20" i="31"/>
  <c r="A19" i="31"/>
  <c r="A18" i="31"/>
  <c r="A17" i="31"/>
  <c r="A16" i="31"/>
  <c r="A15" i="31"/>
  <c r="A13" i="31" l="1"/>
  <c r="A12" i="31"/>
  <c r="A11" i="31"/>
  <c r="A8" i="31"/>
  <c r="A7" i="31"/>
  <c r="A6" i="31"/>
  <c r="A5" i="31"/>
  <c r="A4" i="31"/>
  <c r="A3" i="31"/>
  <c r="Y45" i="3"/>
  <c r="Y43" i="3"/>
  <c r="Y39" i="3"/>
  <c r="Y30" i="3"/>
  <c r="Y28" i="3"/>
  <c r="Y17" i="3"/>
  <c r="Y16" i="3"/>
  <c r="Y15" i="3"/>
  <c r="Y14" i="3"/>
  <c r="Y13" i="3"/>
  <c r="B23" i="37"/>
  <c r="B22" i="37"/>
  <c r="B20" i="37"/>
  <c r="B19" i="37"/>
  <c r="B7" i="37"/>
  <c r="B6" i="37"/>
  <c r="B12" i="41" l="1"/>
  <c r="B12" i="40"/>
  <c r="A28" i="40"/>
  <c r="B14" i="37" l="1"/>
  <c r="B15" i="41" l="1"/>
  <c r="C8" i="3"/>
  <c r="A27" i="40"/>
  <c r="C104" i="42"/>
  <c r="B104" i="42"/>
  <c r="A104" i="42"/>
  <c r="B56" i="42"/>
  <c r="C39" i="38"/>
  <c r="B26" i="42"/>
  <c r="B20" i="42"/>
  <c r="B22" i="41"/>
  <c r="B19" i="42"/>
  <c r="A22" i="38"/>
  <c r="B8" i="41" s="1"/>
  <c r="B13" i="42"/>
  <c r="C13" i="42"/>
  <c r="B14" i="42"/>
  <c r="B27" i="42" s="1"/>
  <c r="B77" i="42" s="1"/>
  <c r="C14" i="42"/>
  <c r="B15" i="42"/>
  <c r="C15" i="42"/>
  <c r="C16" i="42"/>
  <c r="C12" i="42"/>
  <c r="B12" i="42"/>
  <c r="B9" i="41"/>
  <c r="C38" i="38"/>
  <c r="E18" i="8"/>
  <c r="C9" i="38"/>
  <c r="B16" i="42" s="1"/>
  <c r="B4" i="9"/>
  <c r="B17" i="41"/>
  <c r="B16" i="41"/>
  <c r="B21" i="9"/>
  <c r="C12" i="8"/>
  <c r="B31" i="10"/>
  <c r="E17" i="8" l="1"/>
  <c r="C11" i="8"/>
  <c r="B98" i="42"/>
  <c r="B36" i="42"/>
  <c r="M40" i="35"/>
  <c r="M8" i="35"/>
  <c r="A27" i="41"/>
  <c r="A26" i="41"/>
  <c r="A29" i="40"/>
  <c r="T13" i="35"/>
  <c r="S15" i="35"/>
  <c r="L6" i="38"/>
  <c r="L11" i="38"/>
  <c r="L13" i="38"/>
  <c r="M14" i="38"/>
  <c r="F17" i="8" l="1"/>
  <c r="F18" i="8"/>
  <c r="C31" i="38"/>
  <c r="A30" i="38"/>
  <c r="D18" i="8"/>
  <c r="D17" i="8"/>
  <c r="B14" i="41"/>
  <c r="B2" i="41"/>
  <c r="A2" i="41"/>
  <c r="B2" i="40"/>
  <c r="B24" i="40"/>
  <c r="B23" i="40"/>
  <c r="B22" i="40"/>
  <c r="B21" i="40"/>
  <c r="J47" i="8"/>
  <c r="M43" i="8"/>
  <c r="L43" i="8"/>
  <c r="K43" i="8"/>
  <c r="M42" i="8"/>
  <c r="L42" i="8"/>
  <c r="K42" i="8"/>
  <c r="M37" i="8"/>
  <c r="J37" i="8"/>
  <c r="J36" i="8"/>
  <c r="K34" i="8"/>
  <c r="K33" i="8"/>
  <c r="K32" i="8"/>
  <c r="K31" i="8"/>
  <c r="B15" i="40"/>
  <c r="B14" i="40"/>
  <c r="B6" i="40"/>
  <c r="A2" i="40"/>
  <c r="F12" i="10"/>
  <c r="B17" i="42" l="1"/>
  <c r="B7" i="41"/>
  <c r="C33" i="38"/>
  <c r="C32" i="38"/>
  <c r="C30" i="38"/>
  <c r="B62" i="37"/>
  <c r="B60" i="37"/>
  <c r="B61" i="37"/>
  <c r="B59" i="37"/>
  <c r="B54" i="37"/>
  <c r="B55" i="37" s="1"/>
  <c r="B2" i="37"/>
  <c r="B46" i="37"/>
  <c r="AA23" i="3"/>
  <c r="B45" i="37"/>
  <c r="A65" i="37"/>
  <c r="B51" i="37"/>
  <c r="B12" i="10"/>
  <c r="B21" i="37"/>
  <c r="B53" i="37"/>
  <c r="B13" i="37"/>
  <c r="B52" i="37" s="1"/>
  <c r="B12" i="37"/>
  <c r="B14" i="9" l="1"/>
  <c r="I13" i="35"/>
  <c r="C21" i="31" l="1"/>
  <c r="M36" i="8"/>
  <c r="M9" i="8"/>
  <c r="C25" i="3"/>
  <c r="C26" i="31"/>
  <c r="C57" i="3"/>
  <c r="C56" i="3"/>
  <c r="B5" i="41"/>
  <c r="C4" i="38" l="1"/>
  <c r="G10" i="38"/>
  <c r="B13" i="9" s="1"/>
  <c r="C22" i="38"/>
  <c r="B12" i="9" s="1"/>
  <c r="H23" i="35"/>
  <c r="I23" i="35"/>
  <c r="AA9" i="3" s="1"/>
  <c r="AA8" i="3"/>
  <c r="AB17" i="35"/>
  <c r="AC17" i="35" s="1"/>
  <c r="R23" i="38"/>
  <c r="C13" i="38"/>
  <c r="C12" i="38"/>
  <c r="M36" i="31"/>
  <c r="M34" i="31"/>
  <c r="M32" i="31"/>
  <c r="M30" i="31"/>
  <c r="M17" i="31"/>
  <c r="G4" i="38" l="1"/>
  <c r="B21" i="41" s="1"/>
  <c r="M8" i="38"/>
  <c r="B23" i="9"/>
  <c r="B25" i="9" s="1"/>
  <c r="B13" i="41"/>
  <c r="B6" i="9"/>
  <c r="B22" i="9"/>
  <c r="B24" i="9" s="1"/>
  <c r="M23" i="31"/>
  <c r="M21" i="31"/>
  <c r="M19" i="31"/>
  <c r="Q12" i="31"/>
  <c r="Q10" i="31"/>
  <c r="Q11" i="31"/>
  <c r="Q9" i="31"/>
  <c r="M10" i="31"/>
  <c r="M11" i="31"/>
  <c r="M12" i="31"/>
  <c r="M9" i="31"/>
  <c r="O38" i="31"/>
  <c r="S36" i="31"/>
  <c r="U36" i="31" s="1"/>
  <c r="V35" i="31"/>
  <c r="S34" i="31"/>
  <c r="V34" i="31" s="1"/>
  <c r="X34" i="31" s="1"/>
  <c r="S32" i="31"/>
  <c r="V31" i="31"/>
  <c r="S30" i="31"/>
  <c r="O25" i="31"/>
  <c r="S23" i="31"/>
  <c r="V23" i="31" s="1"/>
  <c r="X23" i="31" s="1"/>
  <c r="V22" i="31"/>
  <c r="S21" i="31"/>
  <c r="V21" i="31" s="1"/>
  <c r="S19" i="31"/>
  <c r="V18" i="31"/>
  <c r="S17" i="31"/>
  <c r="B15" i="9" l="1"/>
  <c r="B27" i="41"/>
  <c r="B26" i="9"/>
  <c r="B27" i="9" s="1"/>
  <c r="B33" i="41" s="1"/>
  <c r="U34" i="31"/>
  <c r="U23" i="31"/>
  <c r="U32" i="31"/>
  <c r="V32" i="31"/>
  <c r="X32" i="31" s="1"/>
  <c r="V36" i="31"/>
  <c r="X36" i="31" s="1"/>
  <c r="U30" i="31"/>
  <c r="U17" i="31"/>
  <c r="U21" i="31"/>
  <c r="X21" i="31"/>
  <c r="U19" i="31"/>
  <c r="N8" i="35"/>
  <c r="U37" i="31" l="1"/>
  <c r="U24" i="31"/>
  <c r="C18" i="31" l="1"/>
  <c r="C17" i="31"/>
  <c r="C9" i="31"/>
  <c r="J21" i="8"/>
  <c r="J20" i="8"/>
  <c r="B15" i="37" s="1"/>
  <c r="J19" i="8"/>
  <c r="M17" i="8"/>
  <c r="M16" i="8"/>
  <c r="L17" i="8"/>
  <c r="L16" i="8"/>
  <c r="K16" i="8"/>
  <c r="M10" i="8"/>
  <c r="B16" i="37" l="1"/>
  <c r="J10" i="8"/>
  <c r="J9" i="8"/>
  <c r="C22" i="3"/>
  <c r="C23" i="3" s="1"/>
  <c r="C21" i="3"/>
  <c r="AA24" i="3" l="1"/>
  <c r="Y23" i="3"/>
  <c r="A36" i="3"/>
  <c r="G12" i="31" l="1"/>
  <c r="G10" i="31"/>
  <c r="G9" i="31"/>
  <c r="A38" i="31" l="1"/>
  <c r="A31" i="31"/>
  <c r="B7" i="40" s="1"/>
  <c r="A25" i="31"/>
  <c r="A26" i="31"/>
  <c r="Z52" i="3"/>
  <c r="Z50" i="3"/>
  <c r="Z48" i="3"/>
  <c r="Z46" i="3"/>
  <c r="Z37" i="3"/>
  <c r="AB54" i="3"/>
  <c r="AF52" i="3"/>
  <c r="AI52" i="3" s="1"/>
  <c r="AK52" i="3" s="1"/>
  <c r="AF50" i="3"/>
  <c r="AF48" i="3"/>
  <c r="AI48" i="3" s="1"/>
  <c r="AF46" i="3"/>
  <c r="Z35" i="3"/>
  <c r="Z33" i="3"/>
  <c r="Z31" i="3"/>
  <c r="AB39" i="3"/>
  <c r="AF37" i="3"/>
  <c r="AI37" i="3" s="1"/>
  <c r="AF35" i="3"/>
  <c r="AI35" i="3" s="1"/>
  <c r="AF33" i="3"/>
  <c r="AF31" i="3"/>
  <c r="A44" i="3"/>
  <c r="A29" i="3"/>
  <c r="T4" i="35"/>
  <c r="B55" i="3"/>
  <c r="C54" i="3"/>
  <c r="B53" i="3"/>
  <c r="B52" i="3"/>
  <c r="T29" i="35"/>
  <c r="M12" i="38" s="1"/>
  <c r="B9" i="40" l="1"/>
  <c r="B8" i="40"/>
  <c r="B47" i="37"/>
  <c r="H11" i="31"/>
  <c r="AH52" i="3"/>
  <c r="AK35" i="3"/>
  <c r="AK48" i="3"/>
  <c r="AK37" i="3"/>
  <c r="AH46" i="3"/>
  <c r="AH48" i="3"/>
  <c r="AH50" i="3"/>
  <c r="AH31" i="3"/>
  <c r="AH33" i="3"/>
  <c r="AH35" i="3"/>
  <c r="AH37" i="3"/>
  <c r="T33" i="35"/>
  <c r="T35" i="35" s="1"/>
  <c r="B28" i="40" s="1"/>
  <c r="I36" i="3"/>
  <c r="I34" i="3"/>
  <c r="I32" i="3"/>
  <c r="I30" i="3"/>
  <c r="I17" i="3"/>
  <c r="I23" i="3"/>
  <c r="I21" i="3"/>
  <c r="I19" i="3"/>
  <c r="K38" i="3"/>
  <c r="O36" i="3"/>
  <c r="R36" i="3" s="1"/>
  <c r="R35" i="3"/>
  <c r="O34" i="3"/>
  <c r="R34" i="3" s="1"/>
  <c r="O32" i="3"/>
  <c r="R32" i="3" s="1"/>
  <c r="R31" i="3"/>
  <c r="O30" i="3"/>
  <c r="M9" i="3"/>
  <c r="M10" i="3"/>
  <c r="M11" i="3"/>
  <c r="M12" i="3"/>
  <c r="I10" i="3"/>
  <c r="I11" i="3"/>
  <c r="I12" i="3"/>
  <c r="I9" i="3"/>
  <c r="K5" i="8"/>
  <c r="V19" i="31" s="1"/>
  <c r="X19" i="31" s="1"/>
  <c r="K6" i="8"/>
  <c r="K7" i="8"/>
  <c r="K4" i="8"/>
  <c r="O17" i="3"/>
  <c r="R18" i="3"/>
  <c r="O19" i="3"/>
  <c r="O21" i="3"/>
  <c r="R21" i="3" s="1"/>
  <c r="R22" i="3"/>
  <c r="O23" i="3"/>
  <c r="R23" i="3" s="1"/>
  <c r="K25" i="3"/>
  <c r="L15" i="38" l="1"/>
  <c r="K10" i="3"/>
  <c r="O10" i="31"/>
  <c r="K12" i="3"/>
  <c r="O12" i="31"/>
  <c r="V30" i="31"/>
  <c r="X30" i="31" s="1"/>
  <c r="X38" i="31" s="1"/>
  <c r="K11" i="3"/>
  <c r="O11" i="31"/>
  <c r="K9" i="3"/>
  <c r="O9" i="31"/>
  <c r="V17" i="31"/>
  <c r="X17" i="31" s="1"/>
  <c r="X25" i="31" s="1"/>
  <c r="R17" i="3"/>
  <c r="AI33" i="3"/>
  <c r="AK33" i="3" s="1"/>
  <c r="AI46" i="3"/>
  <c r="AK46" i="3" s="1"/>
  <c r="AI31" i="3"/>
  <c r="AK31" i="3" s="1"/>
  <c r="AI50" i="3"/>
  <c r="AK50" i="3" s="1"/>
  <c r="AH53" i="3"/>
  <c r="AH38" i="3"/>
  <c r="R30" i="3"/>
  <c r="T30" i="3" s="1"/>
  <c r="T36" i="3"/>
  <c r="Q30" i="3"/>
  <c r="Q19" i="3"/>
  <c r="Q34" i="3"/>
  <c r="Q32" i="3"/>
  <c r="T34" i="3"/>
  <c r="Q36" i="3"/>
  <c r="T32" i="3"/>
  <c r="R19" i="3"/>
  <c r="T19" i="3" s="1"/>
  <c r="Q23" i="3"/>
  <c r="Q21" i="3"/>
  <c r="Q17" i="3"/>
  <c r="T21" i="3"/>
  <c r="AK39" i="3" l="1"/>
  <c r="AK54" i="3"/>
  <c r="Q37" i="3"/>
  <c r="T38" i="3" s="1"/>
  <c r="Q24" i="3"/>
  <c r="T17" i="3"/>
  <c r="T23" i="3"/>
  <c r="H20" i="31"/>
  <c r="H18" i="31"/>
  <c r="K17" i="8"/>
  <c r="T25" i="3" l="1"/>
  <c r="T15" i="35" l="1"/>
  <c r="AA15" i="3" s="1"/>
  <c r="T11" i="35"/>
  <c r="B14" i="10" s="1"/>
  <c r="C64" i="3"/>
  <c r="C63" i="3"/>
  <c r="B61" i="3"/>
  <c r="AA16" i="3"/>
  <c r="AA17" i="3"/>
  <c r="AA14" i="3"/>
  <c r="T19" i="35"/>
  <c r="C4" i="3"/>
  <c r="AA18" i="3" s="1"/>
  <c r="F11" i="10" l="1"/>
  <c r="B67" i="37"/>
  <c r="C62" i="3"/>
  <c r="H19" i="31"/>
  <c r="C67" i="3"/>
  <c r="B28" i="37" s="1"/>
  <c r="B11" i="10"/>
  <c r="T20" i="35"/>
  <c r="B27" i="37" s="1"/>
  <c r="B9" i="10"/>
  <c r="B23" i="10"/>
  <c r="F23" i="10"/>
  <c r="F22" i="10"/>
  <c r="B12" i="36"/>
  <c r="F14" i="10"/>
  <c r="B60" i="3"/>
  <c r="H17" i="31"/>
  <c r="F9" i="10"/>
  <c r="I4" i="3"/>
  <c r="I5" i="3" s="1"/>
  <c r="AA13" i="3"/>
  <c r="F6" i="10"/>
  <c r="B6" i="10"/>
  <c r="A30" i="3"/>
  <c r="A39" i="31"/>
  <c r="C14" i="35"/>
  <c r="Y21" i="35"/>
  <c r="J46" i="8" s="1"/>
  <c r="Y22" i="35"/>
  <c r="B3" i="36"/>
  <c r="B5" i="40" s="1"/>
  <c r="C36" i="3"/>
  <c r="J45" i="8" l="1"/>
  <c r="B16" i="40" s="1"/>
  <c r="B26" i="36"/>
  <c r="B28" i="36" s="1"/>
  <c r="B30" i="36" s="1"/>
  <c r="B13" i="10"/>
  <c r="B25" i="10" s="1"/>
  <c r="B11" i="36"/>
  <c r="B66" i="37"/>
  <c r="B10" i="10"/>
  <c r="F13" i="10"/>
  <c r="C65" i="3"/>
  <c r="F10" i="10"/>
  <c r="I6" i="3"/>
  <c r="B58" i="37" s="1"/>
  <c r="C4" i="31"/>
  <c r="AN26" i="8"/>
  <c r="AO26" i="8"/>
  <c r="AP26" i="8"/>
  <c r="AQ26" i="8"/>
  <c r="AR26" i="8"/>
  <c r="AS26" i="8"/>
  <c r="AT26" i="8"/>
  <c r="AU26" i="8"/>
  <c r="AV26" i="8"/>
  <c r="AW26" i="8"/>
  <c r="AX26" i="8"/>
  <c r="AY26" i="8"/>
  <c r="AZ26" i="8"/>
  <c r="BA26" i="8"/>
  <c r="BB26" i="8"/>
  <c r="BC26" i="8"/>
  <c r="BD26" i="8"/>
  <c r="AN27" i="8"/>
  <c r="AO27" i="8"/>
  <c r="AP27" i="8"/>
  <c r="AQ27" i="8"/>
  <c r="AR27" i="8"/>
  <c r="AS27" i="8"/>
  <c r="AT27" i="8"/>
  <c r="AU27" i="8"/>
  <c r="AV27" i="8"/>
  <c r="AW27" i="8"/>
  <c r="AX27" i="8"/>
  <c r="AY27" i="8"/>
  <c r="AZ27" i="8"/>
  <c r="BA27" i="8"/>
  <c r="BB27" i="8"/>
  <c r="BC27" i="8"/>
  <c r="BD27" i="8"/>
  <c r="AN28" i="8"/>
  <c r="AO28" i="8"/>
  <c r="AP28" i="8"/>
  <c r="AQ28" i="8"/>
  <c r="AR28" i="8"/>
  <c r="AS28" i="8"/>
  <c r="AT28" i="8"/>
  <c r="AU28" i="8"/>
  <c r="AV28" i="8"/>
  <c r="AW28" i="8"/>
  <c r="AX28" i="8"/>
  <c r="AY28" i="8"/>
  <c r="AZ28" i="8"/>
  <c r="BA28" i="8"/>
  <c r="BB28" i="8"/>
  <c r="BC28" i="8"/>
  <c r="BD28" i="8"/>
  <c r="AM27" i="8"/>
  <c r="AM28" i="8"/>
  <c r="AM26" i="8"/>
  <c r="AN23" i="8"/>
  <c r="AO23" i="8"/>
  <c r="AP23" i="8"/>
  <c r="AQ23" i="8"/>
  <c r="AR23" i="8"/>
  <c r="AS23" i="8"/>
  <c r="AT23" i="8"/>
  <c r="AU23" i="8"/>
  <c r="AV23" i="8"/>
  <c r="AW23" i="8"/>
  <c r="AX23" i="8"/>
  <c r="AY23" i="8"/>
  <c r="AZ23" i="8"/>
  <c r="BA23" i="8"/>
  <c r="BB23" i="8"/>
  <c r="BC23" i="8"/>
  <c r="BD23" i="8"/>
  <c r="AN24" i="8"/>
  <c r="AO24" i="8"/>
  <c r="AP24" i="8"/>
  <c r="AQ24" i="8"/>
  <c r="AR24" i="8"/>
  <c r="AS24" i="8"/>
  <c r="AT24" i="8"/>
  <c r="AU24" i="8"/>
  <c r="AV24" i="8"/>
  <c r="AW24" i="8"/>
  <c r="AX24" i="8"/>
  <c r="AY24" i="8"/>
  <c r="AZ24" i="8"/>
  <c r="BA24" i="8"/>
  <c r="BB24" i="8"/>
  <c r="BC24" i="8"/>
  <c r="BD24" i="8"/>
  <c r="AN25" i="8"/>
  <c r="AO25" i="8"/>
  <c r="AP25" i="8"/>
  <c r="AQ25" i="8"/>
  <c r="AR25" i="8"/>
  <c r="AS25" i="8"/>
  <c r="AT25" i="8"/>
  <c r="AU25" i="8"/>
  <c r="AV25" i="8"/>
  <c r="AW25" i="8"/>
  <c r="AX25" i="8"/>
  <c r="AY25" i="8"/>
  <c r="AZ25" i="8"/>
  <c r="BA25" i="8"/>
  <c r="BB25" i="8"/>
  <c r="BC25" i="8"/>
  <c r="BD25" i="8"/>
  <c r="AM24" i="8"/>
  <c r="AM25" i="8"/>
  <c r="AM23" i="8"/>
  <c r="B17" i="40" l="1"/>
  <c r="F25" i="10"/>
  <c r="H5" i="31"/>
  <c r="B29" i="40" s="1"/>
  <c r="B13" i="40"/>
  <c r="M4" i="31"/>
  <c r="B17" i="36"/>
  <c r="B18" i="36"/>
  <c r="B6" i="36"/>
  <c r="B27" i="36"/>
  <c r="B29" i="36" s="1"/>
  <c r="B31" i="36" s="1"/>
  <c r="B32" i="36" s="1"/>
  <c r="B34" i="40" s="1"/>
  <c r="B20" i="36" l="1"/>
  <c r="M6" i="31"/>
  <c r="M5" i="31"/>
  <c r="N19" i="35"/>
  <c r="F31" i="10"/>
  <c r="C11" i="3"/>
  <c r="C13" i="3"/>
  <c r="C12" i="3"/>
  <c r="B20" i="40" l="1"/>
  <c r="B16" i="36"/>
  <c r="C13" i="31"/>
  <c r="B21" i="10"/>
  <c r="F21" i="10"/>
  <c r="B3" i="10"/>
  <c r="B5" i="37" s="1"/>
  <c r="AA25" i="3" l="1"/>
  <c r="C17" i="3" l="1"/>
  <c r="I27" i="35" l="1"/>
  <c r="I20" i="35"/>
  <c r="I19" i="35"/>
  <c r="I18" i="35"/>
  <c r="I17" i="35"/>
  <c r="AH13" i="35"/>
  <c r="I12" i="35" s="1"/>
  <c r="AF13" i="35"/>
  <c r="I11" i="35" s="1"/>
  <c r="AH10" i="35"/>
  <c r="AF10" i="35"/>
  <c r="I7" i="35" s="1"/>
  <c r="AH7" i="35"/>
  <c r="AF7" i="35"/>
  <c r="I8" i="35" l="1"/>
  <c r="H8" i="35"/>
  <c r="C24" i="3"/>
  <c r="F24" i="10" s="1"/>
  <c r="C20" i="31"/>
  <c r="B16" i="9"/>
  <c r="B17" i="9" l="1"/>
  <c r="B32" i="41" s="1"/>
  <c r="E16" i="9"/>
  <c r="B30" i="41" s="1"/>
  <c r="B9" i="36"/>
  <c r="B10" i="36"/>
  <c r="B29" i="9" l="1"/>
  <c r="B34" i="41" s="1"/>
  <c r="P50" i="8"/>
  <c r="P49" i="8"/>
  <c r="Q49" i="8" s="1"/>
  <c r="P55" i="8"/>
  <c r="P54" i="8"/>
  <c r="P58" i="8" l="1"/>
  <c r="P48" i="8"/>
  <c r="Q48" i="8" s="1"/>
  <c r="Q50" i="8"/>
  <c r="Q51" i="8" l="1"/>
  <c r="P51" i="8"/>
  <c r="P57" i="8"/>
  <c r="U43" i="8"/>
  <c r="U42" i="8"/>
  <c r="U41" i="8"/>
  <c r="U40" i="8"/>
  <c r="P60" i="8" l="1"/>
  <c r="P62" i="8" s="1"/>
  <c r="P63" i="8" s="1"/>
  <c r="P64" i="8" l="1"/>
  <c r="R34" i="8" l="1"/>
  <c r="R35" i="8" l="1"/>
  <c r="W35" i="8"/>
  <c r="W34" i="8"/>
  <c r="U35" i="8"/>
  <c r="U34" i="8"/>
  <c r="AB34" i="8"/>
  <c r="S32" i="8" l="1"/>
  <c r="S31" i="8"/>
  <c r="R32" i="8"/>
  <c r="R31" i="8"/>
  <c r="B32" i="10" l="1"/>
  <c r="B34" i="10" s="1"/>
  <c r="B33" i="10"/>
  <c r="B35" i="10" s="1"/>
  <c r="F32" i="10" l="1"/>
  <c r="F34" i="10" s="1"/>
  <c r="F33" i="10"/>
  <c r="F35" i="10" s="1"/>
  <c r="F36" i="10" l="1"/>
  <c r="F37" i="10" s="1"/>
  <c r="B72" i="37" s="1"/>
  <c r="C34" i="31"/>
  <c r="A45" i="3"/>
  <c r="C39" i="3" l="1"/>
  <c r="C32" i="31" l="1"/>
  <c r="C33" i="31" s="1"/>
  <c r="C31" i="31"/>
  <c r="C39" i="31" l="1"/>
  <c r="C30" i="3"/>
  <c r="C45" i="3"/>
  <c r="C37" i="3"/>
  <c r="C38" i="3" s="1"/>
  <c r="B36" i="10" l="1"/>
  <c r="B37" i="10" s="1"/>
  <c r="B33" i="37" s="1"/>
  <c r="C25" i="31" l="1"/>
  <c r="C38" i="31"/>
  <c r="C44" i="3"/>
  <c r="C29" i="3"/>
  <c r="B24" i="10" s="1"/>
  <c r="B7" i="36"/>
  <c r="B19" i="36" l="1"/>
  <c r="B8" i="36"/>
  <c r="C28" i="8"/>
  <c r="C34" i="8" l="1"/>
  <c r="B33" i="8"/>
  <c r="B32" i="8"/>
  <c r="C26" i="8" l="1"/>
  <c r="C32" i="8" s="1"/>
  <c r="C27" i="8" l="1"/>
  <c r="C33" i="8" s="1"/>
  <c r="C35" i="8" s="1"/>
  <c r="C29" i="8" l="1"/>
  <c r="B21" i="36" l="1"/>
  <c r="B22" i="36" l="1"/>
  <c r="B33" i="40" s="1"/>
  <c r="B26" i="10"/>
  <c r="B27" i="10" s="1"/>
  <c r="B32" i="37" s="1"/>
  <c r="B34" i="36" l="1"/>
  <c r="B35" i="40" s="1"/>
  <c r="B39" i="10"/>
  <c r="B34" i="37" s="1"/>
  <c r="F26" i="10"/>
  <c r="F27" i="10" s="1"/>
  <c r="B71" i="37" s="1"/>
  <c r="F39" i="10" l="1"/>
  <c r="B73" i="37" s="1"/>
</calcChain>
</file>

<file path=xl/comments1.xml><?xml version="1.0" encoding="utf-8"?>
<comments xmlns="http://schemas.openxmlformats.org/spreadsheetml/2006/main">
  <authors>
    <author>Lone Abildgaard</author>
  </authors>
  <commentList>
    <comment ref="C5" authorId="0">
      <text>
        <r>
          <rPr>
            <b/>
            <sz val="9"/>
            <color indexed="81"/>
            <rFont val="Tahoma"/>
            <family val="2"/>
          </rPr>
          <t>Lone Abildgaard:</t>
        </r>
        <r>
          <rPr>
            <sz val="9"/>
            <color indexed="81"/>
            <rFont val="Tahoma"/>
            <family val="2"/>
          </rPr>
          <t xml:space="preserve">
White boxes signifies input from user</t>
        </r>
      </text>
    </comment>
    <comment ref="Y5" authorId="0">
      <text>
        <r>
          <rPr>
            <b/>
            <sz val="9"/>
            <color indexed="81"/>
            <rFont val="Tahoma"/>
            <family val="2"/>
          </rPr>
          <t>Lone Abildgaard:</t>
        </r>
        <r>
          <rPr>
            <sz val="9"/>
            <color indexed="81"/>
            <rFont val="Tahoma"/>
            <family val="2"/>
          </rPr>
          <t xml:space="preserve">
Afstand er det eneste der adskilles fra halmark</t>
        </r>
      </text>
    </comment>
    <comment ref="C6" authorId="0">
      <text>
        <r>
          <rPr>
            <b/>
            <sz val="9"/>
            <color indexed="81"/>
            <rFont val="Tahoma"/>
            <family val="2"/>
          </rPr>
          <t>Lone Abildgaard:</t>
        </r>
        <r>
          <rPr>
            <sz val="9"/>
            <color indexed="81"/>
            <rFont val="Tahoma"/>
            <family val="2"/>
          </rPr>
          <t xml:space="preserve">
Danmarks statistik 3,38</t>
        </r>
      </text>
    </comment>
    <comment ref="C11" authorId="0">
      <text>
        <r>
          <rPr>
            <b/>
            <sz val="9"/>
            <color indexed="81"/>
            <rFont val="Tahoma"/>
            <family val="2"/>
          </rPr>
          <t>Lone Abildgaard:</t>
        </r>
        <r>
          <rPr>
            <sz val="9"/>
            <color indexed="81"/>
            <rFont val="Tahoma"/>
            <family val="2"/>
          </rPr>
          <t xml:space="preserve">
Expected values from litterature (FIB). Can be changed in sheet Normer</t>
        </r>
      </text>
    </comment>
    <comment ref="Y14" authorId="0">
      <text>
        <r>
          <rPr>
            <b/>
            <sz val="9"/>
            <color indexed="81"/>
            <rFont val="Tahoma"/>
            <family val="2"/>
          </rPr>
          <t>Lone Abildgaard:</t>
        </r>
        <r>
          <rPr>
            <sz val="9"/>
            <color indexed="81"/>
            <rFont val="Tahoma"/>
            <family val="2"/>
          </rPr>
          <t xml:space="preserve">
Stemmer det?</t>
        </r>
      </text>
    </comment>
    <comment ref="A51" authorId="0">
      <text>
        <r>
          <rPr>
            <b/>
            <sz val="9"/>
            <color indexed="81"/>
            <rFont val="Tahoma"/>
            <family val="2"/>
          </rPr>
          <t>Lone Abildgaard:</t>
        </r>
        <r>
          <rPr>
            <sz val="9"/>
            <color indexed="81"/>
            <rFont val="Tahoma"/>
            <family val="2"/>
          </rPr>
          <t xml:space="preserve">
Hvor kommer tallene fra? Kilde: Mogens Møller</t>
        </r>
      </text>
    </comment>
    <comment ref="A59" authorId="0">
      <text>
        <r>
          <rPr>
            <b/>
            <sz val="9"/>
            <color indexed="81"/>
            <rFont val="Tahoma"/>
            <family val="2"/>
          </rPr>
          <t>Lone Abildgaard:</t>
        </r>
        <r>
          <rPr>
            <sz val="9"/>
            <color indexed="81"/>
            <rFont val="Tahoma"/>
            <family val="2"/>
          </rPr>
          <t xml:space="preserve">
Kilde: Mogens Knudsen, Foulum. Har vurderet hvor mange oprivere f.eks. Der er nødvendig</t>
        </r>
      </text>
    </comment>
  </commentList>
</comments>
</file>

<file path=xl/comments2.xml><?xml version="1.0" encoding="utf-8"?>
<comments xmlns="http://schemas.openxmlformats.org/spreadsheetml/2006/main">
  <authors>
    <author>Lone Abildgaard</author>
  </authors>
  <commentList>
    <comment ref="A3" authorId="0">
      <text>
        <r>
          <rPr>
            <b/>
            <sz val="9"/>
            <color indexed="81"/>
            <rFont val="Tahoma"/>
            <family val="2"/>
          </rPr>
          <t>Lone Abildgaard:</t>
        </r>
        <r>
          <rPr>
            <sz val="9"/>
            <color indexed="81"/>
            <rFont val="Tahoma"/>
            <family val="2"/>
          </rPr>
          <t xml:space="preserve">
Hvor kommer tallene fra? Kilde: Generelt tal, kan evt ændres. </t>
        </r>
      </text>
    </comment>
    <comment ref="F8" authorId="0">
      <text>
        <r>
          <rPr>
            <b/>
            <sz val="9"/>
            <color indexed="81"/>
            <rFont val="Tahoma"/>
            <family val="2"/>
          </rPr>
          <t>Lone Abildgaard:</t>
        </r>
        <r>
          <rPr>
            <sz val="9"/>
            <color indexed="81"/>
            <rFont val="Tahoma"/>
            <family val="2"/>
          </rPr>
          <t xml:space="preserve">
Hvor kommer tallene fra? Kilde: Mogens Møller</t>
        </r>
      </text>
    </comment>
    <comment ref="A9" authorId="0">
      <text>
        <r>
          <rPr>
            <b/>
            <sz val="9"/>
            <color indexed="81"/>
            <rFont val="Tahoma"/>
            <family val="2"/>
          </rPr>
          <t>Lone Abildgaard:</t>
        </r>
        <r>
          <rPr>
            <sz val="9"/>
            <color indexed="81"/>
            <rFont val="Tahoma"/>
            <family val="2"/>
          </rPr>
          <t xml:space="preserve">
varierer med behandling</t>
        </r>
      </text>
    </comment>
    <comment ref="F16" authorId="0">
      <text>
        <r>
          <rPr>
            <b/>
            <sz val="9"/>
            <color indexed="81"/>
            <rFont val="Tahoma"/>
            <family val="2"/>
          </rPr>
          <t>Lone Abildgaard:</t>
        </r>
        <r>
          <rPr>
            <sz val="9"/>
            <color indexed="81"/>
            <rFont val="Tahoma"/>
            <family val="2"/>
          </rPr>
          <t xml:space="preserve">
Kilde: Mogens Knudsen, Foulum. Har vurderet hvor mange oprivere f.eks. Der er nødvendig</t>
        </r>
      </text>
    </comment>
    <comment ref="A26" authorId="0">
      <text>
        <r>
          <rPr>
            <b/>
            <sz val="9"/>
            <color indexed="81"/>
            <rFont val="Tahoma"/>
            <family val="2"/>
          </rPr>
          <t>Lone Abildgaard:</t>
        </r>
        <r>
          <rPr>
            <sz val="9"/>
            <color indexed="81"/>
            <rFont val="Tahoma"/>
            <family val="2"/>
          </rPr>
          <t xml:space="preserve">
Taktors læssehastighed afhænger af markudbytte. Det må være en fejl. Hvad mon den reelle læssehastighed er?</t>
        </r>
      </text>
    </comment>
    <comment ref="A28" authorId="0">
      <text>
        <r>
          <rPr>
            <b/>
            <sz val="9"/>
            <color indexed="81"/>
            <rFont val="Tahoma"/>
            <family val="2"/>
          </rPr>
          <t>Lone Abildgaard:</t>
        </r>
        <r>
          <rPr>
            <sz val="9"/>
            <color indexed="81"/>
            <rFont val="Tahoma"/>
            <family val="2"/>
          </rPr>
          <t xml:space="preserve">
Har lastbil og traktor samme kapacitet?</t>
        </r>
      </text>
    </comment>
  </commentList>
</comments>
</file>

<file path=xl/comments3.xml><?xml version="1.0" encoding="utf-8"?>
<comments xmlns="http://schemas.openxmlformats.org/spreadsheetml/2006/main">
  <authors>
    <author>Lone Abildgaard</author>
  </authors>
  <commentList>
    <comment ref="A3" authorId="0">
      <text>
        <r>
          <rPr>
            <b/>
            <sz val="9"/>
            <color indexed="81"/>
            <rFont val="Tahoma"/>
            <family val="2"/>
          </rPr>
          <t>Lone Abildgaard:</t>
        </r>
        <r>
          <rPr>
            <sz val="9"/>
            <color indexed="81"/>
            <rFont val="Tahoma"/>
            <family val="2"/>
          </rPr>
          <t xml:space="preserve">
Alle biomasseinformation skal undersøges</t>
        </r>
      </text>
    </comment>
    <comment ref="G4" authorId="0">
      <text>
        <r>
          <rPr>
            <b/>
            <sz val="9"/>
            <color indexed="81"/>
            <rFont val="Tahoma"/>
            <family val="2"/>
          </rPr>
          <t>Lone Abildgaard:</t>
        </r>
        <r>
          <rPr>
            <sz val="9"/>
            <color indexed="81"/>
            <rFont val="Tahoma"/>
            <family val="2"/>
          </rPr>
          <t>Beregnget udfra ballevægt og derfor afhængig af %TS</t>
        </r>
      </text>
    </comment>
    <comment ref="C6" authorId="0">
      <text>
        <r>
          <rPr>
            <b/>
            <sz val="9"/>
            <color indexed="81"/>
            <rFont val="Tahoma"/>
            <family val="2"/>
          </rPr>
          <t>Lone Abildgaard:</t>
        </r>
        <r>
          <rPr>
            <sz val="9"/>
            <color indexed="81"/>
            <rFont val="Tahoma"/>
            <family val="2"/>
          </rPr>
          <t xml:space="preserve">
5.2 tons er Gns 4 gårde, BioM. Det kommer også an på antal slet. 4-10 tonTS ved to slet og 1.5-6 tons ved 1 slet</t>
        </r>
      </text>
    </comment>
    <comment ref="A29" authorId="0">
      <text>
        <r>
          <rPr>
            <b/>
            <sz val="9"/>
            <color indexed="81"/>
            <rFont val="Tahoma"/>
            <family val="2"/>
          </rPr>
          <t>Lone Abildgaard:</t>
        </r>
        <r>
          <rPr>
            <sz val="9"/>
            <color indexed="81"/>
            <rFont val="Tahoma"/>
            <family val="2"/>
          </rPr>
          <t xml:space="preserve">
Er under revision</t>
        </r>
      </text>
    </comment>
    <comment ref="C32" authorId="0">
      <text>
        <r>
          <rPr>
            <b/>
            <sz val="9"/>
            <color indexed="81"/>
            <rFont val="Tahoma"/>
            <family val="2"/>
          </rPr>
          <t>Lone Abildgaard:</t>
        </r>
        <r>
          <rPr>
            <sz val="9"/>
            <color indexed="81"/>
            <rFont val="Tahoma"/>
            <family val="2"/>
          </rPr>
          <t xml:space="preserve">
Pas på: Tal afhængig af ballevægt, der påvirkes af TS</t>
        </r>
      </text>
    </comment>
  </commentList>
</comments>
</file>

<file path=xl/comments4.xml><?xml version="1.0" encoding="utf-8"?>
<comments xmlns="http://schemas.openxmlformats.org/spreadsheetml/2006/main">
  <authors>
    <author>Ida Kjærgaard</author>
    <author>Lone Abildgaard</author>
  </authors>
  <commentList>
    <comment ref="B6" authorId="0">
      <text>
        <r>
          <rPr>
            <b/>
            <sz val="9"/>
            <color indexed="81"/>
            <rFont val="Tahoma"/>
            <family val="2"/>
          </rPr>
          <t>Ida Kjærgaard:</t>
        </r>
        <r>
          <rPr>
            <sz val="9"/>
            <color indexed="81"/>
            <rFont val="Tahoma"/>
            <family val="2"/>
          </rPr>
          <t xml:space="preserve">
Brdr. Jacobsen: 550 kr/time
Bejstrup maskinstation: 525 kr/time
Skamstrup maskinstation: 650 kr/time, men det er inkl traktor med frontlæsser</t>
        </r>
      </text>
    </comment>
    <comment ref="G6" authorId="0">
      <text>
        <r>
          <rPr>
            <b/>
            <sz val="9"/>
            <color indexed="81"/>
            <rFont val="Tahoma"/>
            <family val="2"/>
          </rPr>
          <t>Ida Kjærgaard:</t>
        </r>
        <r>
          <rPr>
            <sz val="9"/>
            <color indexed="81"/>
            <rFont val="Tahoma"/>
            <family val="2"/>
          </rPr>
          <t xml:space="preserve">
Skamstrup maskinstation: 625 kr/time
Brdr. Jacobsen: 605 kr/time
Bejstrup maskinstation: 575 kr/time</t>
        </r>
      </text>
    </comment>
    <comment ref="L6" authorId="0">
      <text>
        <r>
          <rPr>
            <b/>
            <sz val="9"/>
            <color indexed="81"/>
            <rFont val="Tahoma"/>
            <family val="2"/>
          </rPr>
          <t>Ida Kjærgaard:</t>
        </r>
        <r>
          <rPr>
            <sz val="9"/>
            <color indexed="81"/>
            <rFont val="Tahoma"/>
            <family val="2"/>
          </rPr>
          <t xml:space="preserve">
Tina Tind. Tidligere ansat i planteproduktion. Tina har regnet et gennemsnit af forskellige finsnitter størrelser</t>
        </r>
      </text>
    </comment>
    <comment ref="G7" authorId="0">
      <text>
        <r>
          <rPr>
            <b/>
            <sz val="9"/>
            <color indexed="81"/>
            <rFont val="Tahoma"/>
            <family val="2"/>
          </rPr>
          <t>Ida Kjærgaard:</t>
        </r>
        <r>
          <rPr>
            <sz val="9"/>
            <color indexed="81"/>
            <rFont val="Tahoma"/>
            <family val="2"/>
          </rPr>
          <t xml:space="preserve">
DRIFT</t>
        </r>
      </text>
    </comment>
    <comment ref="L7" authorId="0">
      <text>
        <r>
          <rPr>
            <b/>
            <sz val="9"/>
            <color indexed="81"/>
            <rFont val="Tahoma"/>
            <family val="2"/>
          </rPr>
          <t>Ida Kjærgaard:</t>
        </r>
        <r>
          <rPr>
            <sz val="9"/>
            <color indexed="81"/>
            <rFont val="Tahoma"/>
            <family val="2"/>
          </rPr>
          <t xml:space="preserve">
Tina Tind</t>
        </r>
      </text>
    </comment>
    <comment ref="B8" authorId="0">
      <text>
        <r>
          <rPr>
            <b/>
            <sz val="9"/>
            <color indexed="81"/>
            <rFont val="Tahoma"/>
            <family val="2"/>
          </rPr>
          <t xml:space="preserve">Lone: </t>
        </r>
        <r>
          <rPr>
            <sz val="9"/>
            <color indexed="81"/>
            <rFont val="Tahoma"/>
            <family val="2"/>
          </rPr>
          <t>to vogne rummer 27 baller. BioM, Høy, 2010</t>
        </r>
      </text>
    </comment>
    <comment ref="G8" authorId="0">
      <text>
        <r>
          <rPr>
            <b/>
            <sz val="9"/>
            <color indexed="81"/>
            <rFont val="Tahoma"/>
            <family val="2"/>
          </rPr>
          <t>Ida Kjærgaard:</t>
        </r>
        <r>
          <rPr>
            <sz val="9"/>
            <color indexed="81"/>
            <rFont val="Tahoma"/>
            <family val="2"/>
          </rPr>
          <t xml:space="preserve">
DRIFT</t>
        </r>
      </text>
    </comment>
    <comment ref="B9" authorId="0">
      <text>
        <r>
          <rPr>
            <b/>
            <sz val="9"/>
            <color indexed="81"/>
            <rFont val="Tahoma"/>
            <family val="2"/>
          </rPr>
          <t>Ida Kjærgaard:</t>
        </r>
        <r>
          <rPr>
            <sz val="9"/>
            <color indexed="81"/>
            <rFont val="Tahoma"/>
            <family val="2"/>
          </rPr>
          <t xml:space="preserve">
Kun 12 baller på lavbundsareal ved høst af enggræs. Ikke for tungt</t>
        </r>
      </text>
    </comment>
    <comment ref="G9" authorId="0">
      <text>
        <r>
          <rPr>
            <b/>
            <sz val="9"/>
            <color indexed="81"/>
            <rFont val="Tahoma"/>
            <family val="2"/>
          </rPr>
          <t>Ida Kjærgaard:Grass approximately 5.8 ton/ha</t>
        </r>
      </text>
    </comment>
    <comment ref="L9" authorId="0">
      <text>
        <r>
          <rPr>
            <b/>
            <sz val="9"/>
            <color indexed="81"/>
            <rFont val="Tahoma"/>
            <family val="2"/>
          </rPr>
          <t>Ida Kjærgaard:</t>
        </r>
        <r>
          <rPr>
            <sz val="9"/>
            <color indexed="81"/>
            <rFont val="Tahoma"/>
            <family val="2"/>
          </rPr>
          <t xml:space="preserve">
Tina Tind</t>
        </r>
      </text>
    </comment>
    <comment ref="G10" authorId="0">
      <text>
        <r>
          <rPr>
            <b/>
            <sz val="9"/>
            <color indexed="81"/>
            <rFont val="Tahoma"/>
            <family val="2"/>
          </rPr>
          <t>Ida Kjærgaard:</t>
        </r>
        <r>
          <rPr>
            <sz val="9"/>
            <color indexed="81"/>
            <rFont val="Tahoma"/>
            <family val="2"/>
          </rPr>
          <t xml:space="preserve">
Grass 5.8 ton/ha</t>
        </r>
      </text>
    </comment>
    <comment ref="L10" authorId="0">
      <text>
        <r>
          <rPr>
            <b/>
            <sz val="9"/>
            <color indexed="81"/>
            <rFont val="Tahoma"/>
            <family val="2"/>
          </rPr>
          <t>Ida Kjærgaard:</t>
        </r>
        <r>
          <rPr>
            <sz val="9"/>
            <color indexed="81"/>
            <rFont val="Tahoma"/>
            <family val="2"/>
          </rPr>
          <t xml:space="preserve">
Tina Tind</t>
        </r>
      </text>
    </comment>
    <comment ref="G11" authorId="0">
      <text>
        <r>
          <rPr>
            <b/>
            <sz val="9"/>
            <color indexed="81"/>
            <rFont val="Tahoma"/>
            <family val="2"/>
          </rPr>
          <t>Ida Kjærgaard:</t>
        </r>
        <r>
          <rPr>
            <sz val="9"/>
            <color indexed="81"/>
            <rFont val="Tahoma"/>
            <family val="2"/>
          </rPr>
          <t xml:space="preserve">
DRIFT
</t>
        </r>
      </text>
    </comment>
    <comment ref="L11" authorId="0">
      <text>
        <r>
          <rPr>
            <b/>
            <sz val="9"/>
            <color indexed="81"/>
            <rFont val="Tahoma"/>
            <family val="2"/>
          </rPr>
          <t>Ida Kjærgaard:</t>
        </r>
        <r>
          <rPr>
            <sz val="9"/>
            <color indexed="81"/>
            <rFont val="Tahoma"/>
            <family val="2"/>
          </rPr>
          <t xml:space="preserve">
Erik Fløjgaard fra AU har selv fået oplyst en pris på 6-8 øre pr kg. Niels Bie tager 7 øre/kg. Vesthimmerland maskinstation har oplyst en pris på 40 kr/balle svarende til 0,07 kr/kg når ballevægten er 550 kg</t>
        </r>
      </text>
    </comment>
    <comment ref="B12" authorId="0">
      <text>
        <r>
          <rPr>
            <b/>
            <sz val="9"/>
            <color indexed="81"/>
            <rFont val="Tahoma"/>
            <family val="2"/>
          </rPr>
          <t>Ida Kjærgaard:</t>
        </r>
        <r>
          <rPr>
            <sz val="9"/>
            <color indexed="81"/>
            <rFont val="Tahoma"/>
            <family val="2"/>
          </rPr>
          <t xml:space="preserve">
Skamstrup maskinstation oplyste at man oftest lejer frontlægger og halmvogn sammen til en pris på 650 kr/time</t>
        </r>
      </text>
    </comment>
    <comment ref="G12" authorId="0">
      <text>
        <r>
          <rPr>
            <b/>
            <sz val="9"/>
            <color indexed="81"/>
            <rFont val="Tahoma"/>
            <family val="2"/>
          </rPr>
          <t>Ida Kjærgaard:</t>
        </r>
        <r>
          <rPr>
            <sz val="9"/>
            <color indexed="81"/>
            <rFont val="Tahoma"/>
            <family val="2"/>
          </rPr>
          <t xml:space="preserve">
DRIFT</t>
        </r>
      </text>
    </comment>
    <comment ref="L12" authorId="1">
      <text>
        <r>
          <rPr>
            <b/>
            <sz val="9"/>
            <color indexed="81"/>
            <rFont val="Tahoma"/>
            <family val="2"/>
          </rPr>
          <t>Lone Abildgaard:</t>
        </r>
        <r>
          <rPr>
            <sz val="9"/>
            <color indexed="81"/>
            <rFont val="Tahoma"/>
            <family val="2"/>
          </rPr>
          <t xml:space="preserve">
BioM, Høy, 2010
</t>
        </r>
      </text>
    </comment>
    <comment ref="B13" authorId="0">
      <text>
        <r>
          <rPr>
            <b/>
            <sz val="9"/>
            <color indexed="81"/>
            <rFont val="Tahoma"/>
            <family val="2"/>
          </rPr>
          <t>Ida Kjærgaard:</t>
        </r>
        <r>
          <rPr>
            <sz val="9"/>
            <color indexed="81"/>
            <rFont val="Tahoma"/>
            <family val="2"/>
          </rPr>
          <t xml:space="preserve">
Erfaringer fra Henrik Mortensen AU</t>
        </r>
      </text>
    </comment>
    <comment ref="G13" authorId="0">
      <text>
        <r>
          <rPr>
            <sz val="9"/>
            <color indexed="81"/>
            <rFont val="Tahoma"/>
            <family val="2"/>
          </rPr>
          <t xml:space="preserve">Set på Youtube. Gennemsnit af 7 aflæsninger fra halmvogn til lager. 2 bigballer tog 40 sek
</t>
        </r>
      </text>
    </comment>
    <comment ref="L13" authorId="1">
      <text>
        <r>
          <rPr>
            <b/>
            <sz val="9"/>
            <color indexed="81"/>
            <rFont val="Tahoma"/>
            <family val="2"/>
          </rPr>
          <t>Lone Abildgaard:</t>
        </r>
        <r>
          <rPr>
            <sz val="9"/>
            <color indexed="81"/>
            <rFont val="Tahoma"/>
            <family val="2"/>
          </rPr>
          <t xml:space="preserve">
BioM, Høy, 2010</t>
        </r>
      </text>
    </comment>
    <comment ref="G14" authorId="0">
      <text>
        <r>
          <rPr>
            <b/>
            <sz val="9"/>
            <color indexed="81"/>
            <rFont val="Tahoma"/>
            <family val="2"/>
          </rPr>
          <t>Ida Kjærgaard:</t>
        </r>
        <r>
          <rPr>
            <sz val="9"/>
            <color indexed="81"/>
            <rFont val="Tahoma"/>
            <family val="2"/>
          </rPr>
          <t xml:space="preserve">
COWI rapport: 15-20 min at læsse 33 tons med frontlæsser. Det svarer til 20min/33ton=0,6 min/ton</t>
        </r>
      </text>
    </comment>
    <comment ref="L14" authorId="1">
      <text>
        <r>
          <rPr>
            <b/>
            <sz val="9"/>
            <color indexed="81"/>
            <rFont val="Tahoma"/>
            <family val="2"/>
          </rPr>
          <t>Lone Abildgaard:</t>
        </r>
        <r>
          <rPr>
            <sz val="9"/>
            <color indexed="81"/>
            <rFont val="Tahoma"/>
            <family val="2"/>
          </rPr>
          <t xml:space="preserve">
BioM, Høy, 2010</t>
        </r>
      </text>
    </comment>
    <comment ref="W14" authorId="0">
      <text>
        <r>
          <rPr>
            <b/>
            <sz val="9"/>
            <color indexed="81"/>
            <rFont val="Tahoma"/>
            <family val="2"/>
          </rPr>
          <t>Ida Kjærgaard:</t>
        </r>
        <r>
          <rPr>
            <sz val="9"/>
            <color indexed="81"/>
            <rFont val="Tahoma"/>
            <family val="2"/>
          </rPr>
          <t xml:space="preserve">
Gæt</t>
        </r>
      </text>
    </comment>
    <comment ref="L15" authorId="1">
      <text>
        <r>
          <rPr>
            <b/>
            <sz val="9"/>
            <color indexed="81"/>
            <rFont val="Tahoma"/>
            <family val="2"/>
          </rPr>
          <t>Lone Abildgaard:</t>
        </r>
        <r>
          <rPr>
            <sz val="9"/>
            <color indexed="81"/>
            <rFont val="Tahoma"/>
            <family val="2"/>
          </rPr>
          <t xml:space="preserve">
Høy, AgroTech, 2010</t>
        </r>
      </text>
    </comment>
    <comment ref="W15" authorId="0">
      <text>
        <r>
          <rPr>
            <b/>
            <sz val="9"/>
            <color indexed="81"/>
            <rFont val="Tahoma"/>
            <family val="2"/>
          </rPr>
          <t>Ida Kjærgaard:</t>
        </r>
        <r>
          <rPr>
            <sz val="9"/>
            <color indexed="81"/>
            <rFont val="Tahoma"/>
            <family val="2"/>
          </rPr>
          <t xml:space="preserve">
FiB nr 47, marts 2014</t>
        </r>
      </text>
    </comment>
    <comment ref="G16" authorId="0">
      <text>
        <r>
          <rPr>
            <b/>
            <sz val="9"/>
            <color indexed="81"/>
            <rFont val="Tahoma"/>
            <family val="2"/>
          </rPr>
          <t>Ida Kjærgaard:</t>
        </r>
        <r>
          <rPr>
            <sz val="9"/>
            <color indexed="81"/>
            <rFont val="Tahoma"/>
            <family val="2"/>
          </rPr>
          <t xml:space="preserve">
Brdr. Jacobsen: 700 kr/time
Bejstrup maskinstation: 675 kr/time
Skinnerup maskinstation: 525 kr/time</t>
        </r>
      </text>
    </comment>
    <comment ref="L16" authorId="1">
      <text>
        <r>
          <rPr>
            <b/>
            <sz val="9"/>
            <color indexed="81"/>
            <rFont val="Tahoma"/>
            <family val="2"/>
          </rPr>
          <t>Lone Abildgaard:</t>
        </r>
        <r>
          <rPr>
            <sz val="9"/>
            <color indexed="81"/>
            <rFont val="Tahoma"/>
            <family val="2"/>
          </rPr>
          <t xml:space="preserve">
BioM, Høy, 2010</t>
        </r>
      </text>
    </comment>
    <comment ref="W16" authorId="0">
      <text>
        <r>
          <rPr>
            <b/>
            <sz val="9"/>
            <color indexed="81"/>
            <rFont val="Tahoma"/>
            <family val="2"/>
          </rPr>
          <t>Ida Kjærgaard:</t>
        </r>
        <r>
          <rPr>
            <sz val="9"/>
            <color indexed="81"/>
            <rFont val="Tahoma"/>
            <family val="2"/>
          </rPr>
          <t xml:space="preserve">
Antaget det samme som briketteret. Mangler kilde fra kontinuerte reaktorer
</t>
        </r>
      </text>
    </comment>
    <comment ref="B17" authorId="0">
      <text>
        <r>
          <rPr>
            <b/>
            <sz val="9"/>
            <color indexed="81"/>
            <rFont val="Tahoma"/>
            <family val="2"/>
          </rPr>
          <t>Ida Kjærgaard:</t>
        </r>
        <r>
          <rPr>
            <sz val="9"/>
            <color indexed="81"/>
            <rFont val="Tahoma"/>
            <family val="2"/>
          </rPr>
          <t xml:space="preserve">
Brdr. Jacobsen: 600 kr/time
Bejstrup maskinstation: 650 kr/time</t>
        </r>
      </text>
    </comment>
    <comment ref="G17" authorId="0">
      <text>
        <r>
          <rPr>
            <b/>
            <sz val="9"/>
            <color indexed="81"/>
            <rFont val="Tahoma"/>
            <family val="2"/>
          </rPr>
          <t>Ida Kjærgaard:</t>
        </r>
        <r>
          <rPr>
            <sz val="9"/>
            <color indexed="81"/>
            <rFont val="Tahoma"/>
            <family val="2"/>
          </rPr>
          <t xml:space="preserve">
Fra Henrik Mortensen: 24 min/læs</t>
        </r>
      </text>
    </comment>
    <comment ref="L17" authorId="1">
      <text>
        <r>
          <rPr>
            <b/>
            <sz val="9"/>
            <color indexed="81"/>
            <rFont val="Tahoma"/>
            <family val="2"/>
          </rPr>
          <t>Lone Abildgaard:</t>
        </r>
        <r>
          <rPr>
            <sz val="9"/>
            <color indexed="81"/>
            <rFont val="Tahoma"/>
            <family val="2"/>
          </rPr>
          <t xml:space="preserve">
BioM, Høy, 2010</t>
        </r>
      </text>
    </comment>
    <comment ref="Q17" authorId="1">
      <text>
        <r>
          <rPr>
            <b/>
            <sz val="9"/>
            <color indexed="81"/>
            <rFont val="Tahoma"/>
            <family val="2"/>
          </rPr>
          <t>Lone Abildgaard:</t>
        </r>
        <r>
          <rPr>
            <sz val="9"/>
            <color indexed="81"/>
            <rFont val="Tahoma"/>
            <family val="2"/>
          </rPr>
          <t xml:space="preserve">
Stemmer det?</t>
        </r>
      </text>
    </comment>
    <comment ref="W17" authorId="0">
      <text>
        <r>
          <rPr>
            <b/>
            <sz val="9"/>
            <color indexed="81"/>
            <rFont val="Tahoma"/>
            <family val="2"/>
          </rPr>
          <t>Ida Kjærgaard:</t>
        </r>
        <r>
          <rPr>
            <sz val="9"/>
            <color indexed="81"/>
            <rFont val="Tahoma"/>
            <family val="2"/>
          </rPr>
          <t xml:space="preserve">
Værdi: 234 m3/tonVS. Fra Henrik Møller. Jeg har taget 80 % af Bo. Problemet er bare om det afspejler virkeligheden, da forskellen på ekstruderet og ubehandlet enggræs bliver mindre over tid
</t>
        </r>
        <r>
          <rPr>
            <b/>
            <sz val="9"/>
            <color indexed="81"/>
            <rFont val="Tahoma"/>
            <family val="2"/>
          </rPr>
          <t>Lone</t>
        </r>
        <r>
          <rPr>
            <sz val="9"/>
            <color indexed="81"/>
            <rFont val="Tahoma"/>
            <family val="2"/>
          </rPr>
          <t>: i rapporten fra Wennerberg, 2012: Gasudbyttet afhænger af græsblandingen, høsttidspunkt, TS indhold ved ensilering, ensilerings kvalitet. neddelingen af græsset. Senere slet giver lavere udbytte. BIOM rapporten NørreÅdal siger 200-300 ved første slet og 100 ved andet slet. Idas værdi virker fornuftig og beholdes.</t>
        </r>
      </text>
    </comment>
    <comment ref="G18" authorId="0">
      <text>
        <r>
          <rPr>
            <b/>
            <sz val="9"/>
            <color indexed="81"/>
            <rFont val="Tahoma"/>
            <family val="2"/>
          </rPr>
          <t>Ida Kjærgaard:</t>
        </r>
        <r>
          <rPr>
            <sz val="9"/>
            <color indexed="81"/>
            <rFont val="Tahoma"/>
            <family val="2"/>
          </rPr>
          <t xml:space="preserve">
Fra Henrik Mortensen: 24 min/læs
Lone: Læssemaskine to baller af gangen 2 baller/minut</t>
        </r>
      </text>
    </comment>
    <comment ref="L18" authorId="0">
      <text>
        <r>
          <rPr>
            <b/>
            <sz val="9"/>
            <color indexed="81"/>
            <rFont val="Tahoma"/>
            <family val="2"/>
          </rPr>
          <t>Ida Kjærgaard:</t>
        </r>
        <r>
          <rPr>
            <sz val="9"/>
            <color indexed="81"/>
            <rFont val="Tahoma"/>
            <family val="2"/>
          </rPr>
          <t xml:space="preserve">
Brdr. Jacobsen: 80 kr/balle
Bejstrup maskinstation: 75 kr/balle
Niemanns maskinstation: 75 kr/balle
Niels Bie maskinstation: 88 kr/balle
Vesthimmerlands maskinstation: 70 kr/balle</t>
        </r>
      </text>
    </comment>
    <comment ref="W18" authorId="0">
      <text>
        <r>
          <rPr>
            <b/>
            <sz val="9"/>
            <color indexed="81"/>
            <rFont val="Tahoma"/>
            <family val="2"/>
          </rPr>
          <t>Ida Kjærgaard:</t>
        </r>
        <r>
          <rPr>
            <sz val="9"/>
            <color indexed="81"/>
            <rFont val="Tahoma"/>
            <family val="2"/>
          </rPr>
          <t xml:space="preserve">
Fra Henrik Møller. Jeg har taget 80 % af Bo. Problemet er bare om det afspejler virkeligheden, da forskellen på ekstruderet og ubehandlet enggræs bliver mindre over tid</t>
        </r>
      </text>
    </comment>
    <comment ref="B19" authorId="0">
      <text>
        <r>
          <rPr>
            <b/>
            <sz val="9"/>
            <color indexed="81"/>
            <rFont val="Tahoma"/>
            <family val="2"/>
          </rPr>
          <t>Ida Kjærgaard:</t>
        </r>
        <r>
          <rPr>
            <sz val="9"/>
            <color indexed="81"/>
            <rFont val="Tahoma"/>
            <family val="2"/>
          </rPr>
          <t xml:space="preserve">
Gæt</t>
        </r>
      </text>
    </comment>
    <comment ref="G19" authorId="0">
      <text>
        <r>
          <rPr>
            <b/>
            <sz val="9"/>
            <color indexed="81"/>
            <rFont val="Tahoma"/>
            <family val="2"/>
          </rPr>
          <t>Ida Kjærgaard:</t>
        </r>
        <r>
          <rPr>
            <sz val="9"/>
            <color indexed="81"/>
            <rFont val="Tahoma"/>
            <family val="2"/>
          </rPr>
          <t xml:space="preserve">
Fra Henrik Mortensen: 24 min/læs</t>
        </r>
      </text>
    </comment>
    <comment ref="B20" authorId="0">
      <text>
        <r>
          <rPr>
            <b/>
            <sz val="9"/>
            <color indexed="81"/>
            <rFont val="Tahoma"/>
            <family val="2"/>
          </rPr>
          <t>Ida Kjærgaard:</t>
        </r>
        <r>
          <rPr>
            <sz val="9"/>
            <color indexed="81"/>
            <rFont val="Tahoma"/>
            <family val="2"/>
          </rPr>
          <t xml:space="preserve">
Skinnerup maskinstation: 575 kr/time</t>
        </r>
      </text>
    </comment>
    <comment ref="G20" authorId="0">
      <text>
        <r>
          <rPr>
            <b/>
            <sz val="9"/>
            <color indexed="81"/>
            <rFont val="Tahoma"/>
            <family val="2"/>
          </rPr>
          <t>Ida Kjærgaard:</t>
        </r>
        <r>
          <rPr>
            <sz val="9"/>
            <color indexed="81"/>
            <rFont val="Tahoma"/>
            <family val="2"/>
          </rPr>
          <t xml:space="preserve">
Fra Henrik Mortensen: 24 min/læs</t>
        </r>
      </text>
    </comment>
    <comment ref="L20" authorId="0">
      <text>
        <r>
          <rPr>
            <b/>
            <sz val="9"/>
            <color indexed="81"/>
            <rFont val="Tahoma"/>
            <family val="2"/>
          </rPr>
          <t>Ida Kjærgaard:</t>
        </r>
        <r>
          <rPr>
            <sz val="9"/>
            <color indexed="81"/>
            <rFont val="Tahoma"/>
            <family val="2"/>
          </rPr>
          <t xml:space="preserve">
Skamstrup maskinstation: 68 kr/balle
Bejstrup maskinstation: 35 kr/balle
Brdr. Jacobsen: 45 kr/balle</t>
        </r>
      </text>
    </comment>
    <comment ref="W20" authorId="1">
      <text>
        <r>
          <rPr>
            <b/>
            <sz val="9"/>
            <color indexed="81"/>
            <rFont val="Tahoma"/>
            <family val="2"/>
          </rPr>
          <t>Lone Abildgaard:</t>
        </r>
        <r>
          <rPr>
            <sz val="9"/>
            <color indexed="81"/>
            <rFont val="Tahoma"/>
            <family val="2"/>
          </rPr>
          <t xml:space="preserve">
Gns af flere kilder, se dokumentet om rapshalm til bioenergi på Ydrev</t>
        </r>
      </text>
    </comment>
    <comment ref="B21" authorId="0">
      <text>
        <r>
          <rPr>
            <b/>
            <sz val="9"/>
            <color indexed="81"/>
            <rFont val="Tahoma"/>
            <family val="2"/>
          </rPr>
          <t>Ida Kjærgaard:</t>
        </r>
        <r>
          <rPr>
            <sz val="9"/>
            <color indexed="81"/>
            <rFont val="Tahoma"/>
            <family val="2"/>
          </rPr>
          <t xml:space="preserve">
Skinnerup maskinstation</t>
        </r>
      </text>
    </comment>
    <comment ref="G21" authorId="0">
      <text>
        <r>
          <rPr>
            <b/>
            <sz val="9"/>
            <color indexed="81"/>
            <rFont val="Tahoma"/>
            <family val="2"/>
          </rPr>
          <t>Ida Kjærgaard:</t>
        </r>
        <r>
          <rPr>
            <sz val="9"/>
            <color indexed="81"/>
            <rFont val="Tahoma"/>
            <family val="2"/>
          </rPr>
          <t xml:space="preserve">
Fra Henrik Mortensen: 10,8 min/læs med 24 bigballer.
Jeg har regnet ud at det må være 0,82 min/ton
</t>
        </r>
      </text>
    </comment>
    <comment ref="L21" authorId="0">
      <text>
        <r>
          <rPr>
            <b/>
            <sz val="9"/>
            <color indexed="81"/>
            <rFont val="Tahoma"/>
            <family val="2"/>
          </rPr>
          <t>Ida Kjærgaard:</t>
        </r>
        <r>
          <rPr>
            <sz val="9"/>
            <color indexed="81"/>
            <rFont val="Tahoma"/>
            <family val="2"/>
          </rPr>
          <t xml:space="preserve">
Skamstrup maskinstation: 100 kr/balle
</t>
        </r>
      </text>
    </comment>
    <comment ref="B22" authorId="0">
      <text>
        <r>
          <rPr>
            <b/>
            <sz val="9"/>
            <color indexed="81"/>
            <rFont val="Tahoma"/>
            <family val="2"/>
          </rPr>
          <t>Ida Kjærgaard:</t>
        </r>
        <r>
          <rPr>
            <sz val="9"/>
            <color indexed="81"/>
            <rFont val="Tahoma"/>
            <family val="2"/>
          </rPr>
          <t xml:space="preserve">
Skinnerup maskinstation: 650 kr/time
Brdr. Jacobsen: 700 kr/time</t>
        </r>
      </text>
    </comment>
    <comment ref="G22" authorId="0">
      <text>
        <r>
          <rPr>
            <b/>
            <sz val="9"/>
            <color indexed="81"/>
            <rFont val="Tahoma"/>
            <family val="2"/>
          </rPr>
          <t>Ida Kjærgaard:</t>
        </r>
        <r>
          <rPr>
            <sz val="9"/>
            <color indexed="81"/>
            <rFont val="Tahoma"/>
            <family val="2"/>
          </rPr>
          <t xml:space="preserve">
Fra Henrik Mortensen: 10,8 min/læs med 24 bigballer.
Jeg har regnet ud at det må være 0,82 min/ton</t>
        </r>
      </text>
    </comment>
    <comment ref="Y22" authorId="1">
      <text>
        <r>
          <rPr>
            <b/>
            <sz val="9"/>
            <color indexed="81"/>
            <rFont val="Tahoma"/>
            <family val="2"/>
          </rPr>
          <t>Lone Abildgaard:</t>
        </r>
        <r>
          <rPr>
            <sz val="9"/>
            <color indexed="81"/>
            <rFont val="Tahoma"/>
            <family val="2"/>
          </rPr>
          <t xml:space="preserve">
Gæt, ca 15% mere ved ekstrudering
</t>
        </r>
      </text>
    </comment>
    <comment ref="B23" authorId="0">
      <text>
        <r>
          <rPr>
            <b/>
            <sz val="9"/>
            <color indexed="81"/>
            <rFont val="Tahoma"/>
            <family val="2"/>
          </rPr>
          <t>Ida Kjærgaard:</t>
        </r>
        <r>
          <rPr>
            <sz val="9"/>
            <color indexed="81"/>
            <rFont val="Tahoma"/>
            <family val="2"/>
          </rPr>
          <t xml:space="preserve">
Skinnerup maskinstation</t>
        </r>
      </text>
    </comment>
    <comment ref="G23" authorId="1">
      <text>
        <r>
          <rPr>
            <b/>
            <sz val="9"/>
            <color indexed="81"/>
            <rFont val="Tahoma"/>
            <family val="2"/>
          </rPr>
          <t>Lone Abildgaard:</t>
        </r>
        <r>
          <rPr>
            <sz val="9"/>
            <color indexed="81"/>
            <rFont val="Tahoma"/>
            <family val="2"/>
          </rPr>
          <t xml:space="preserve">
Bedste bud: Med skovl som frontlæsser</t>
        </r>
      </text>
    </comment>
    <comment ref="L23" authorId="1">
      <text>
        <r>
          <rPr>
            <b/>
            <sz val="9"/>
            <color indexed="81"/>
            <rFont val="Tahoma"/>
            <family val="2"/>
          </rPr>
          <t>Lone Abildgaard:</t>
        </r>
        <r>
          <rPr>
            <sz val="9"/>
            <color indexed="81"/>
            <rFont val="Tahoma"/>
            <family val="2"/>
          </rPr>
          <t xml:space="preserve">
BioM: 280 kr i opstart + 41 kr per balle + 140 kr for 100 baller. Alt efter antal baller er 45 kr/balle nok ikke helt galt</t>
        </r>
      </text>
    </comment>
    <comment ref="Q23" authorId="1">
      <text>
        <r>
          <rPr>
            <b/>
            <sz val="9"/>
            <color indexed="81"/>
            <rFont val="Tahoma"/>
            <family val="2"/>
          </rPr>
          <t>Lone Abildgaard:</t>
        </r>
        <r>
          <rPr>
            <sz val="9"/>
            <color indexed="81"/>
            <rFont val="Tahoma"/>
            <family val="2"/>
          </rPr>
          <t xml:space="preserve">
Fordi decentral. Mest for Måbjerg. Så det er ekstraoomkostninger på løn fordi decentral.</t>
        </r>
      </text>
    </comment>
    <comment ref="B24" authorId="0">
      <text>
        <r>
          <rPr>
            <b/>
            <sz val="9"/>
            <color indexed="81"/>
            <rFont val="Tahoma"/>
            <family val="2"/>
          </rPr>
          <t>Ida Kjærgaard:</t>
        </r>
        <r>
          <rPr>
            <sz val="9"/>
            <color indexed="81"/>
            <rFont val="Tahoma"/>
            <family val="2"/>
          </rPr>
          <t xml:space="preserve">
Skamstrup maskinstation: 625 kr/time
Bejstrup maskinstation: 625 kr/time</t>
        </r>
      </text>
    </comment>
    <comment ref="B25" authorId="0">
      <text>
        <r>
          <rPr>
            <b/>
            <sz val="9"/>
            <color indexed="81"/>
            <rFont val="Tahoma"/>
            <family val="2"/>
          </rPr>
          <t>Ida Kjærgaard:</t>
        </r>
        <r>
          <rPr>
            <sz val="9"/>
            <color indexed="81"/>
            <rFont val="Tahoma"/>
            <family val="2"/>
          </rPr>
          <t xml:space="preserve">
skamstrup maskinstation</t>
        </r>
      </text>
    </comment>
    <comment ref="G25" authorId="0">
      <text>
        <r>
          <rPr>
            <b/>
            <sz val="9"/>
            <color indexed="81"/>
            <rFont val="Tahoma"/>
            <family val="2"/>
          </rPr>
          <t>Ida Kjærgaard:</t>
        </r>
        <r>
          <rPr>
            <sz val="9"/>
            <color indexed="81"/>
            <rFont val="Tahoma"/>
            <family val="2"/>
          </rPr>
          <t xml:space="preserve">
Mogens Kjeldahl fra DMOGE</t>
        </r>
      </text>
    </comment>
    <comment ref="B26" authorId="0">
      <text>
        <r>
          <rPr>
            <b/>
            <sz val="9"/>
            <color indexed="81"/>
            <rFont val="Tahoma"/>
            <family val="2"/>
          </rPr>
          <t>Ida Kjærgaard:</t>
        </r>
        <r>
          <rPr>
            <sz val="9"/>
            <color indexed="81"/>
            <rFont val="Tahoma"/>
            <family val="2"/>
          </rPr>
          <t xml:space="preserve">
Mogens Kjeldahl DMOGE: 650 kr/time
Bejstrup maskinstation: 675 kr/time</t>
        </r>
      </text>
    </comment>
    <comment ref="G26" authorId="0">
      <text>
        <r>
          <rPr>
            <b/>
            <sz val="9"/>
            <color indexed="81"/>
            <rFont val="Tahoma"/>
            <family val="2"/>
          </rPr>
          <t>Ida Kjærgaard:</t>
        </r>
        <r>
          <rPr>
            <sz val="9"/>
            <color indexed="81"/>
            <rFont val="Tahoma"/>
            <family val="2"/>
          </rPr>
          <t xml:space="preserve">
Generelt hvad de forskellige maskinstationer har oplyst</t>
        </r>
      </text>
    </comment>
    <comment ref="B27" authorId="0">
      <text>
        <r>
          <rPr>
            <b/>
            <sz val="9"/>
            <color indexed="81"/>
            <rFont val="Tahoma"/>
            <family val="2"/>
          </rPr>
          <t>Ida Kjærgaard:</t>
        </r>
        <r>
          <rPr>
            <sz val="9"/>
            <color indexed="81"/>
            <rFont val="Tahoma"/>
            <family val="2"/>
          </rPr>
          <t xml:space="preserve">
Skamstrup maskinstation</t>
        </r>
      </text>
    </comment>
    <comment ref="L27" authorId="0">
      <text>
        <r>
          <rPr>
            <b/>
            <sz val="9"/>
            <color indexed="81"/>
            <rFont val="Tahoma"/>
            <family val="2"/>
          </rPr>
          <t>Ida Kjærgaard:</t>
        </r>
        <r>
          <rPr>
            <sz val="9"/>
            <color indexed="81"/>
            <rFont val="Tahoma"/>
            <family val="2"/>
          </rPr>
          <t xml:space="preserve">
Set et sted at det var gennemsnitsvægten for en halm storballe</t>
        </r>
      </text>
    </comment>
    <comment ref="L28" authorId="0">
      <text>
        <r>
          <rPr>
            <b/>
            <sz val="9"/>
            <color indexed="81"/>
            <rFont val="Tahoma"/>
            <family val="2"/>
          </rPr>
          <t>Ida Kjærgaard:</t>
        </r>
        <r>
          <rPr>
            <sz val="9"/>
            <color indexed="81"/>
            <rFont val="Tahoma"/>
            <family val="2"/>
          </rPr>
          <t xml:space="preserve">
Udregnet baseret på en ballevægt på 550 kg med målene 240x120x120 cm</t>
        </r>
      </text>
    </comment>
    <comment ref="L29" authorId="0">
      <text>
        <r>
          <rPr>
            <b/>
            <sz val="9"/>
            <color indexed="81"/>
            <rFont val="Tahoma"/>
            <family val="2"/>
          </rPr>
          <t>Ida Kjærgaard:</t>
        </r>
        <r>
          <rPr>
            <sz val="9"/>
            <color indexed="81"/>
            <rFont val="Tahoma"/>
            <family val="2"/>
          </rPr>
          <t xml:space="preserve">
Tal fra et forsøg ved Nørreådalen
Lone: Ballevægt afhænger meget af vandindhold og også af pressefasthed. En rundballe på 76% TS og 355 kg taber 50 kg vand ved tørring til 89%. Se høtørring.pdf i biblioteket</t>
        </r>
      </text>
    </comment>
    <comment ref="B30" authorId="0">
      <text>
        <r>
          <rPr>
            <b/>
            <sz val="9"/>
            <color indexed="81"/>
            <rFont val="Tahoma"/>
            <family val="2"/>
          </rPr>
          <t>Ida Kjærgaard:</t>
        </r>
        <r>
          <rPr>
            <sz val="9"/>
            <color indexed="81"/>
            <rFont val="Tahoma"/>
            <family val="2"/>
          </rPr>
          <t xml:space="preserve">
DRIFT</t>
        </r>
      </text>
    </comment>
    <comment ref="L30" authorId="1">
      <text>
        <r>
          <rPr>
            <b/>
            <sz val="9"/>
            <color indexed="81"/>
            <rFont val="Tahoma"/>
            <family val="2"/>
          </rPr>
          <t>Lone Abildgaard:</t>
        </r>
        <r>
          <rPr>
            <sz val="9"/>
            <color indexed="81"/>
            <rFont val="Tahoma"/>
            <family val="2"/>
          </rPr>
          <t xml:space="preserve">
Vægt afhænger af presningsgrad og vandindhold</t>
        </r>
      </text>
    </comment>
    <comment ref="B31" authorId="0">
      <text>
        <r>
          <rPr>
            <b/>
            <sz val="9"/>
            <color indexed="81"/>
            <rFont val="Tahoma"/>
            <family val="2"/>
          </rPr>
          <t>Ida Kjærgaard:</t>
        </r>
        <r>
          <rPr>
            <sz val="9"/>
            <color indexed="81"/>
            <rFont val="Tahoma"/>
            <family val="2"/>
          </rPr>
          <t xml:space="preserve">
Den ligger ml 20-30</t>
        </r>
      </text>
    </comment>
    <comment ref="L31" authorId="0">
      <text>
        <r>
          <rPr>
            <b/>
            <sz val="9"/>
            <color indexed="81"/>
            <rFont val="Tahoma"/>
            <family val="2"/>
          </rPr>
          <t>Ida Kjærgaard:</t>
        </r>
        <r>
          <rPr>
            <sz val="9"/>
            <color indexed="81"/>
            <rFont val="Tahoma"/>
            <family val="2"/>
          </rPr>
          <t xml:space="preserve">
Udregnet baseret på en runsballevægt på 280 kg og en diameter og højde på 120 cm. Tal fra et forsøg ved Nørreådalen.</t>
        </r>
      </text>
    </comment>
    <comment ref="B32" authorId="0">
      <text>
        <r>
          <rPr>
            <b/>
            <sz val="9"/>
            <color indexed="81"/>
            <rFont val="Tahoma"/>
            <family val="2"/>
          </rPr>
          <t>Ida Kjærgaard:</t>
        </r>
        <r>
          <rPr>
            <sz val="9"/>
            <color indexed="81"/>
            <rFont val="Tahoma"/>
            <family val="2"/>
          </rPr>
          <t xml:space="preserve">
MEC har foretaget målinger på deres lastbiler og gennemsnitshastigheden var 51,5 km/time</t>
        </r>
      </text>
    </comment>
    <comment ref="L32" authorId="0">
      <text>
        <r>
          <rPr>
            <b/>
            <sz val="9"/>
            <color indexed="81"/>
            <rFont val="Tahoma"/>
            <family val="2"/>
          </rPr>
          <t>Ida Kjærgaard:</t>
        </r>
        <r>
          <rPr>
            <sz val="9"/>
            <color indexed="81"/>
            <rFont val="Tahoma"/>
            <family val="2"/>
          </rPr>
          <t xml:space="preserve">
Skamstraup maskinstation: 600-700 kg/balle
Bejstrup maskinstation: 700-800 kg/balle
</t>
        </r>
        <r>
          <rPr>
            <b/>
            <sz val="9"/>
            <color indexed="81"/>
            <rFont val="Tahoma"/>
            <family val="2"/>
          </rPr>
          <t>Lone:</t>
        </r>
        <r>
          <rPr>
            <sz val="9"/>
            <color indexed="81"/>
            <rFont val="Tahoma"/>
            <family val="2"/>
          </rPr>
          <t xml:space="preserve"> Det afhænger af %TS og diameter</t>
        </r>
      </text>
    </comment>
    <comment ref="L33" authorId="0">
      <text>
        <r>
          <rPr>
            <b/>
            <sz val="9"/>
            <color indexed="81"/>
            <rFont val="Tahoma"/>
            <family val="2"/>
          </rPr>
          <t>Ida Kjærgaard:</t>
        </r>
        <r>
          <rPr>
            <sz val="9"/>
            <color indexed="81"/>
            <rFont val="Tahoma"/>
            <family val="2"/>
          </rPr>
          <t xml:space="preserve">
Antaget, da tør rundballe i samme str ca. har en densitet på 0,2 ton/m3 regnet ud fra en diameter på 120 cm og en højde på 120 cm og en ballevægt på 280 kr (disse tal er baseret på et forsøg lavet ved nørreådalen). Og græsensilage har en densitet på 0,6, så har vagt en tal ml. 0,2-0,6</t>
        </r>
      </text>
    </comment>
    <comment ref="L34" authorId="0">
      <text>
        <r>
          <rPr>
            <b/>
            <sz val="9"/>
            <color indexed="81"/>
            <rFont val="Tahoma"/>
            <family val="2"/>
          </rPr>
          <t>Ida Kjærgaard:</t>
        </r>
        <r>
          <rPr>
            <sz val="9"/>
            <color indexed="81"/>
            <rFont val="Tahoma"/>
            <family val="2"/>
          </rPr>
          <t xml:space="preserve">
Håndbog for driftsplanlægning side 201. Densiteten er for græsensilage</t>
        </r>
      </text>
    </comment>
    <comment ref="L35" authorId="1">
      <text>
        <r>
          <rPr>
            <b/>
            <sz val="9"/>
            <color indexed="81"/>
            <rFont val="Tahoma"/>
            <family val="2"/>
          </rPr>
          <t>Lone Abildgaard:</t>
        </r>
        <r>
          <rPr>
            <sz val="9"/>
            <color indexed="81"/>
            <rFont val="Tahoma"/>
            <family val="2"/>
          </rPr>
          <t xml:space="preserve">
Opgørelse over alternative biomasser 2011</t>
        </r>
      </text>
    </comment>
    <comment ref="L36" authorId="0">
      <text>
        <r>
          <rPr>
            <b/>
            <sz val="9"/>
            <color indexed="81"/>
            <rFont val="Tahoma"/>
            <family val="2"/>
          </rPr>
          <t>Ida Kjærgaard:</t>
        </r>
        <r>
          <rPr>
            <sz val="9"/>
            <color indexed="81"/>
            <rFont val="Tahoma"/>
            <family val="2"/>
          </rPr>
          <t xml:space="preserve">
Cowi rapport.
Bulk densitet</t>
        </r>
      </text>
    </comment>
  </commentList>
</comments>
</file>

<file path=xl/comments5.xml><?xml version="1.0" encoding="utf-8"?>
<comments xmlns="http://schemas.openxmlformats.org/spreadsheetml/2006/main">
  <authors>
    <author>Lone Abildgaard</author>
  </authors>
  <commentList>
    <comment ref="M3" authorId="0">
      <text>
        <r>
          <rPr>
            <b/>
            <sz val="9"/>
            <color indexed="81"/>
            <rFont val="Tahoma"/>
            <family val="2"/>
          </rPr>
          <t>Lone Abildgaard:</t>
        </r>
        <r>
          <rPr>
            <sz val="9"/>
            <color indexed="81"/>
            <rFont val="Tahoma"/>
            <family val="2"/>
          </rPr>
          <t xml:space="preserve">
Hvor kommer kapaciteten fra? Har skrevet den ind i tabellen, men ikke set beregningen</t>
        </r>
      </text>
    </comment>
    <comment ref="J4" authorId="0">
      <text>
        <r>
          <rPr>
            <b/>
            <sz val="9"/>
            <color indexed="81"/>
            <rFont val="Tahoma"/>
            <family val="2"/>
          </rPr>
          <t>Lone Abildgaard:</t>
        </r>
        <r>
          <rPr>
            <sz val="9"/>
            <color indexed="81"/>
            <rFont val="Tahoma"/>
            <family val="2"/>
          </rPr>
          <t xml:space="preserve">
Prisen kontrolleret hos Sven Aage Christiansen A/S. Han siger hurtigt overslag 1 million
</t>
        </r>
      </text>
    </comment>
    <comment ref="J5" authorId="0">
      <text>
        <r>
          <rPr>
            <b/>
            <sz val="9"/>
            <color indexed="81"/>
            <rFont val="Tahoma"/>
            <family val="2"/>
          </rPr>
          <t>Lone Abildgaard:</t>
        </r>
        <r>
          <rPr>
            <sz val="9"/>
            <color indexed="81"/>
            <rFont val="Tahoma"/>
            <family val="2"/>
          </rPr>
          <t xml:space="preserve">
Prisen kontrolleret hos Sven Aage Christiansen A/S. Han siger 2.2 mill kr på et hurtigt overslag</t>
        </r>
      </text>
    </comment>
    <comment ref="D8" authorId="0">
      <text>
        <r>
          <rPr>
            <b/>
            <sz val="9"/>
            <color indexed="81"/>
            <rFont val="Tahoma"/>
            <family val="2"/>
          </rPr>
          <t>Lone Abildgaard:</t>
        </r>
        <r>
          <rPr>
            <sz val="9"/>
            <color indexed="81"/>
            <rFont val="Tahoma"/>
            <family val="2"/>
          </rPr>
          <t xml:space="preserve">
Slå og presning i en arbejdsgang 2500 kr/ha. Afhentning af baller ca. 1000 kr/ha</t>
        </r>
      </text>
    </comment>
    <comment ref="C11" authorId="0">
      <text>
        <r>
          <rPr>
            <b/>
            <sz val="9"/>
            <color indexed="81"/>
            <rFont val="Tahoma"/>
            <family val="2"/>
          </rPr>
          <t>Lone Abildgaard:</t>
        </r>
        <r>
          <rPr>
            <sz val="9"/>
            <color indexed="81"/>
            <rFont val="Tahoma"/>
            <family val="2"/>
          </rPr>
          <t xml:space="preserve">
Priser fra BioM omregnet til vådvægt
</t>
        </r>
      </text>
    </comment>
    <comment ref="M30" authorId="0">
      <text>
        <r>
          <rPr>
            <b/>
            <sz val="9"/>
            <color indexed="81"/>
            <rFont val="Tahoma"/>
            <family val="2"/>
          </rPr>
          <t>Lone Abildgaard:</t>
        </r>
        <r>
          <rPr>
            <sz val="9"/>
            <color indexed="81"/>
            <rFont val="Tahoma"/>
            <family val="2"/>
          </rPr>
          <t xml:space="preserve">
Hvor kommer kapaciteten fra? Har skrevet den ind i tabellen, men ikke set beregningen</t>
        </r>
      </text>
    </comment>
    <comment ref="J31" authorId="0">
      <text>
        <r>
          <rPr>
            <b/>
            <sz val="9"/>
            <color indexed="81"/>
            <rFont val="Tahoma"/>
            <family val="2"/>
          </rPr>
          <t>Lone Abildgaard:</t>
        </r>
        <r>
          <rPr>
            <sz val="9"/>
            <color indexed="81"/>
            <rFont val="Tahoma"/>
            <family val="2"/>
          </rPr>
          <t xml:space="preserve">
Prisen kontrolleret hos Sven Aage Christiansen A/S. Han siger hurtigt overslag 1 million
</t>
        </r>
      </text>
    </comment>
    <comment ref="J32" authorId="0">
      <text>
        <r>
          <rPr>
            <b/>
            <sz val="9"/>
            <color indexed="81"/>
            <rFont val="Tahoma"/>
            <family val="2"/>
          </rPr>
          <t>Lone Abildgaard:</t>
        </r>
        <r>
          <rPr>
            <sz val="9"/>
            <color indexed="81"/>
            <rFont val="Tahoma"/>
            <family val="2"/>
          </rPr>
          <t xml:space="preserve">
Prisen kontrolleret hos Sven Aage Christiansen A/S. Han siger 2.2 mill kr på et hurtigt overslag</t>
        </r>
      </text>
    </comment>
  </commentList>
</comments>
</file>

<file path=xl/sharedStrings.xml><?xml version="1.0" encoding="utf-8"?>
<sst xmlns="http://schemas.openxmlformats.org/spreadsheetml/2006/main" count="1289" uniqueCount="549">
  <si>
    <t>Forudsætninger</t>
  </si>
  <si>
    <t>Transport</t>
  </si>
  <si>
    <t>Traktor med grab</t>
  </si>
  <si>
    <t>Gummiged</t>
  </si>
  <si>
    <t>Teleskoplæsser</t>
  </si>
  <si>
    <t>Lastbil med walking floor</t>
  </si>
  <si>
    <t>Høst og bjærgning</t>
  </si>
  <si>
    <t>Hovedmenu</t>
  </si>
  <si>
    <t>Valg af biomasse:</t>
  </si>
  <si>
    <t>Rundballer</t>
  </si>
  <si>
    <t>Gødningsspredning</t>
  </si>
  <si>
    <t>Såbedsharvning</t>
  </si>
  <si>
    <t>Såning</t>
  </si>
  <si>
    <t>Tromling</t>
  </si>
  <si>
    <t>Bund, kr/m2</t>
  </si>
  <si>
    <t>Rente, %</t>
  </si>
  <si>
    <t>Levetid, år</t>
  </si>
  <si>
    <t>Gasproduktion</t>
  </si>
  <si>
    <t>Eleffektivitet i gasmotor, %</t>
  </si>
  <si>
    <t>Varmeeffektivitet i gasmotor, %</t>
  </si>
  <si>
    <t>Ekstrudering</t>
  </si>
  <si>
    <t>Afskrivning, %</t>
  </si>
  <si>
    <t>Enggræs</t>
  </si>
  <si>
    <t>Plan silo</t>
  </si>
  <si>
    <t>Dimension</t>
  </si>
  <si>
    <t xml:space="preserve"> </t>
  </si>
  <si>
    <t>Husdyrgødning</t>
  </si>
  <si>
    <t>Længde, m</t>
  </si>
  <si>
    <t>Bredde, m</t>
  </si>
  <si>
    <t>Højde, m</t>
  </si>
  <si>
    <t>Volumen, m3</t>
  </si>
  <si>
    <t>Udnyttelse</t>
  </si>
  <si>
    <t>Pris for elementer:</t>
  </si>
  <si>
    <t>L-elementer, 3x1 m, kr/L-element</t>
  </si>
  <si>
    <t>Volumen pr ekstra meter lager, m3</t>
  </si>
  <si>
    <t>Omkostning pr ekstra meter lager, kr</t>
  </si>
  <si>
    <t>Pris for lager, kr</t>
  </si>
  <si>
    <t>Afskrivning, kr</t>
  </si>
  <si>
    <t>Pris inkl jordbearbejdning, kr</t>
  </si>
  <si>
    <t>Pris for ekstra lagerlængde, kr</t>
  </si>
  <si>
    <t>Traktor hastighed, mark</t>
  </si>
  <si>
    <t>Traktor hastighed, vej</t>
  </si>
  <si>
    <t>Lastbil hastighed, vej</t>
  </si>
  <si>
    <t>Antal læs/time</t>
  </si>
  <si>
    <t>Læssetid direkte under høst, min/læs</t>
  </si>
  <si>
    <t>Tid på vejen inkl. aflæsning, min/læs</t>
  </si>
  <si>
    <t>Finsnitning med efterfølgende lastbilkørsel:</t>
  </si>
  <si>
    <t>Finsnitning med efterfølgende traktorkørsel:</t>
  </si>
  <si>
    <t xml:space="preserve">Kørsel i mark til aflæsningspunkt, min </t>
  </si>
  <si>
    <t>Antal traktore + vogne, stk</t>
  </si>
  <si>
    <t>Halm</t>
  </si>
  <si>
    <t>Rente</t>
  </si>
  <si>
    <t>Data fra DRIFT</t>
  </si>
  <si>
    <t>Wrap</t>
  </si>
  <si>
    <t>Bigballer</t>
  </si>
  <si>
    <t>Ballevægt, kg</t>
  </si>
  <si>
    <t>Baller/læs</t>
  </si>
  <si>
    <t>Aflæsse, min/ha</t>
  </si>
  <si>
    <t>Læsse i mark, min/ha</t>
  </si>
  <si>
    <t>Gennemsnitlige læssekapacitet, min/ha</t>
  </si>
  <si>
    <t>Frontlæsser</t>
  </si>
  <si>
    <t>Gennemsnitlig aflæssekapacitet, min/ha</t>
  </si>
  <si>
    <t>Transport til anlæg</t>
  </si>
  <si>
    <t>Difference, kr</t>
  </si>
  <si>
    <t>Biogasudbytter</t>
  </si>
  <si>
    <t>-</t>
  </si>
  <si>
    <t>Gummiged, kr/time</t>
  </si>
  <si>
    <t>Roer</t>
  </si>
  <si>
    <t>JB 1-3</t>
  </si>
  <si>
    <t>JB 1-4 m. vanding</t>
  </si>
  <si>
    <t>JB 5-6</t>
  </si>
  <si>
    <t>Udsæd</t>
  </si>
  <si>
    <t>N</t>
  </si>
  <si>
    <t>P</t>
  </si>
  <si>
    <t>K</t>
  </si>
  <si>
    <t>Pløjning</t>
  </si>
  <si>
    <t>Efterharvning</t>
  </si>
  <si>
    <t>Sprøjtning</t>
  </si>
  <si>
    <t>Optagning</t>
  </si>
  <si>
    <t>Vanding</t>
  </si>
  <si>
    <t>Vanding, flytning</t>
  </si>
  <si>
    <t>Vanding pr. ml</t>
  </si>
  <si>
    <t>Øvrige opgaver</t>
  </si>
  <si>
    <t>Med husdyrgødning:</t>
  </si>
  <si>
    <t>Uden husdyrgødning:</t>
  </si>
  <si>
    <t>Ukrudt</t>
  </si>
  <si>
    <t>Vask og snitning, kr/ton</t>
  </si>
  <si>
    <t>Hele roer i plan silo</t>
  </si>
  <si>
    <t xml:space="preserve">Roepulp i lagune/tank </t>
  </si>
  <si>
    <t>Lægnde, m</t>
  </si>
  <si>
    <t>L-elementer, 3x1m, kr/element</t>
  </si>
  <si>
    <t>Roelæsser inkl. tørrens</t>
  </si>
  <si>
    <t>Roelæsser, kr/ton</t>
  </si>
  <si>
    <t>Elephant beet washer</t>
  </si>
  <si>
    <t>Elephant Beet Washer, kr/time</t>
  </si>
  <si>
    <t>KWS vask, kr/time</t>
  </si>
  <si>
    <t>Lastbil med container</t>
  </si>
  <si>
    <t>Jordarbejde</t>
  </si>
  <si>
    <t>m3</t>
  </si>
  <si>
    <t>HELE ROER</t>
  </si>
  <si>
    <t>ROEPULP</t>
  </si>
  <si>
    <t>KWS vådvask</t>
  </si>
  <si>
    <t>Thyregod tørvask</t>
  </si>
  <si>
    <t>Thyregod vask, kr/time</t>
  </si>
  <si>
    <t>Vådvask, kr/ton</t>
  </si>
  <si>
    <t>Tørvask, kr/ton</t>
  </si>
  <si>
    <t>Kapacitet, ton/time</t>
  </si>
  <si>
    <t>Vandforbrug, L/ton</t>
  </si>
  <si>
    <t>Transport, fast pris, kr</t>
  </si>
  <si>
    <t>Transport af EBW fra Asdal til anlæg, km</t>
  </si>
  <si>
    <t>Blokvogn, kr/time</t>
  </si>
  <si>
    <t>km</t>
  </si>
  <si>
    <t>Briketter</t>
  </si>
  <si>
    <t>Jordarbejde, kr/tank</t>
  </si>
  <si>
    <t>Antal tanke</t>
  </si>
  <si>
    <t>Kapacitet</t>
  </si>
  <si>
    <t>baller/læs</t>
  </si>
  <si>
    <t>Pris</t>
  </si>
  <si>
    <t>Belægning</t>
  </si>
  <si>
    <t>Teltdug</t>
  </si>
  <si>
    <t>kr/ton</t>
  </si>
  <si>
    <t>Tank, kr/stk</t>
  </si>
  <si>
    <t>Teltdug, kr/stk</t>
  </si>
  <si>
    <t>Invendig belægning, kr/tank</t>
  </si>
  <si>
    <t>Enmandsoperation til opsamling af baller:</t>
  </si>
  <si>
    <t>Tomandsoperation til opsamling af baller:</t>
  </si>
  <si>
    <t>RAPS</t>
  </si>
  <si>
    <t>ton</t>
  </si>
  <si>
    <t>pr. år</t>
  </si>
  <si>
    <t>Eksisterende lagerkapacitet</t>
  </si>
  <si>
    <t>Ydelse, eksisterende lager</t>
  </si>
  <si>
    <t>Afskrivning, eksisterende lager</t>
  </si>
  <si>
    <t>OBS! Afskrivning benyttes ikke i denne model!</t>
  </si>
  <si>
    <t>Nye lagre (af samme str/pris)</t>
  </si>
  <si>
    <t>stk</t>
  </si>
  <si>
    <t>Transport videre til anlæg</t>
  </si>
  <si>
    <t>Ekstruderet halm</t>
  </si>
  <si>
    <t>Høstudbytte</t>
  </si>
  <si>
    <t>Forsikring</t>
  </si>
  <si>
    <t>Majs til helsæd</t>
  </si>
  <si>
    <t>Majs</t>
  </si>
  <si>
    <t>Enhedspris med husdyrgødning:</t>
  </si>
  <si>
    <t>Enhedspris uden husdyrgødning:</t>
  </si>
  <si>
    <t>Plastik</t>
  </si>
  <si>
    <t>JB 5-6 med husdyrgødning</t>
  </si>
  <si>
    <t xml:space="preserve">JB 5-6 </t>
  </si>
  <si>
    <t>JB 1-3 med husdyrgødning</t>
  </si>
  <si>
    <t>JB 1-4 med husdyrgødning og vanding</t>
  </si>
  <si>
    <t>Ekstruderet Rapshalm</t>
  </si>
  <si>
    <t>Briketeret Rapshalm</t>
  </si>
  <si>
    <t>OBS! Afskrivning indgår ikke i anskaffelsespris</t>
  </si>
  <si>
    <t>Kun lagring som briketter</t>
  </si>
  <si>
    <t>ton/år</t>
  </si>
  <si>
    <t>Forbehandling</t>
  </si>
  <si>
    <t>Lagring</t>
  </si>
  <si>
    <t>Høstmetode</t>
  </si>
  <si>
    <t>Udbytte</t>
  </si>
  <si>
    <t>Tørstofindhold</t>
  </si>
  <si>
    <t>Gasudbytte</t>
  </si>
  <si>
    <t>kr.</t>
  </si>
  <si>
    <t>Transport til landmand</t>
  </si>
  <si>
    <t>min/ton</t>
  </si>
  <si>
    <t>Traktor med frontlæsser og halmvogn</t>
  </si>
  <si>
    <r>
      <t>m</t>
    </r>
    <r>
      <rPr>
        <vertAlign val="superscript"/>
        <sz val="11"/>
        <color theme="1"/>
        <rFont val="Calibri"/>
        <family val="2"/>
        <scheme val="minor"/>
      </rPr>
      <t>3</t>
    </r>
  </si>
  <si>
    <t>Ydelse</t>
  </si>
  <si>
    <t>ha.</t>
  </si>
  <si>
    <t>ton/ha.</t>
  </si>
  <si>
    <t>Opdyrket areal</t>
  </si>
  <si>
    <t>kr./ton</t>
  </si>
  <si>
    <t>kr./time</t>
  </si>
  <si>
    <t>Tørstof</t>
  </si>
  <si>
    <t>Organisk stof - VS/TS</t>
  </si>
  <si>
    <t>ton/læs</t>
  </si>
  <si>
    <r>
      <t>L CH</t>
    </r>
    <r>
      <rPr>
        <vertAlign val="subscript"/>
        <sz val="11"/>
        <rFont val="Calibri"/>
        <family val="2"/>
        <scheme val="minor"/>
      </rPr>
      <t>4</t>
    </r>
    <r>
      <rPr>
        <sz val="11"/>
        <rFont val="Calibri"/>
        <family val="2"/>
        <scheme val="minor"/>
      </rPr>
      <t>/kg VS</t>
    </r>
  </si>
  <si>
    <t>Brikketering</t>
  </si>
  <si>
    <t>Ydelse per  maskine</t>
  </si>
  <si>
    <t>kr./år</t>
  </si>
  <si>
    <t>år</t>
  </si>
  <si>
    <t>Ekstruder, mikser og transportbånd</t>
  </si>
  <si>
    <t>Drift og vedligehold</t>
  </si>
  <si>
    <t>Afskrivning</t>
  </si>
  <si>
    <t>Levetid</t>
  </si>
  <si>
    <t>m3/læs</t>
  </si>
  <si>
    <t>Lastbil med forvogn og anhænger</t>
  </si>
  <si>
    <t>kWh/ton</t>
  </si>
  <si>
    <t>Antal ekstrudere/briketpressere</t>
  </si>
  <si>
    <t>Afskrivning per maskine</t>
  </si>
  <si>
    <t>%</t>
  </si>
  <si>
    <t>Lån løbetid</t>
  </si>
  <si>
    <t>kr./ha</t>
  </si>
  <si>
    <t>kr./balle</t>
  </si>
  <si>
    <t>Ilægning og komprimering</t>
  </si>
  <si>
    <t>Lastbil med forvogn &amp; anhænger</t>
  </si>
  <si>
    <t>Traktor med halmvogn</t>
  </si>
  <si>
    <t>Traktor med tipvogn</t>
  </si>
  <si>
    <t>Lastbil med tip</t>
  </si>
  <si>
    <t>ton/m3</t>
  </si>
  <si>
    <t>Samlet kapacitet</t>
  </si>
  <si>
    <t>tons</t>
  </si>
  <si>
    <t>Modellens pris</t>
  </si>
  <si>
    <t>Bigballer/læs</t>
  </si>
  <si>
    <t>Rundballer/læs</t>
  </si>
  <si>
    <t>bigballer/læs</t>
  </si>
  <si>
    <t>rundballer/læs</t>
  </si>
  <si>
    <t>Kapacitet, rundballer</t>
  </si>
  <si>
    <t>Kapacitet i mark, rundballer</t>
  </si>
  <si>
    <t>Kapacitet, halmvogn1</t>
  </si>
  <si>
    <t>Kapacitet, bigballer</t>
  </si>
  <si>
    <t>Transport på vej</t>
  </si>
  <si>
    <t>Hastigheder</t>
  </si>
  <si>
    <t>km/t</t>
  </si>
  <si>
    <t>Læsse, mark, wrap rundballer</t>
  </si>
  <si>
    <t>Aflæsse, wrap rundballer</t>
  </si>
  <si>
    <t>Læsse, mark, rundballer</t>
  </si>
  <si>
    <t>Aflæsse, rundballer</t>
  </si>
  <si>
    <t>Læsse, mark, bigballer</t>
  </si>
  <si>
    <t>Aflæsse, bigballer</t>
  </si>
  <si>
    <t>Læsse, briketter</t>
  </si>
  <si>
    <t>min/læs</t>
  </si>
  <si>
    <t xml:space="preserve">Læsse, rundballer </t>
  </si>
  <si>
    <t>Læsse, wrap</t>
  </si>
  <si>
    <t xml:space="preserve">Aflæsse, wrap </t>
  </si>
  <si>
    <t>Læsse bigballer</t>
  </si>
  <si>
    <t>Aflæsse tipvogn, briketter</t>
  </si>
  <si>
    <t>Vægt og densitet</t>
  </si>
  <si>
    <t>Økonomi</t>
  </si>
  <si>
    <t>ha/time</t>
  </si>
  <si>
    <t>ton/balle</t>
  </si>
  <si>
    <t>Finsnitter</t>
  </si>
  <si>
    <t>Finsnitter kapacitet - græs</t>
  </si>
  <si>
    <t>Finsnitter kapacitet - majs</t>
  </si>
  <si>
    <t>Rive</t>
  </si>
  <si>
    <t>Bigballe presning per balle</t>
  </si>
  <si>
    <t>Bigballepresning per ton</t>
  </si>
  <si>
    <t>Rundballepresser (tør biomasse) per balle</t>
  </si>
  <si>
    <t>Rundballepresser inkl. Wrap (Våd biomasse) per balle</t>
  </si>
  <si>
    <t>Bigballevægt</t>
  </si>
  <si>
    <t>Densitet, bigballe</t>
  </si>
  <si>
    <t>Densitet, rundballe</t>
  </si>
  <si>
    <t>Wrapballevægt</t>
  </si>
  <si>
    <t>Densitet, wraprundballe</t>
  </si>
  <si>
    <t>Densitet, finsnittet græs</t>
  </si>
  <si>
    <t>Densitet, briket</t>
  </si>
  <si>
    <t>løbetid</t>
  </si>
  <si>
    <t>kr/år</t>
  </si>
  <si>
    <t>Hammermølle, transportbånd og opriver</t>
  </si>
  <si>
    <t>Briketpresser</t>
  </si>
  <si>
    <t>Installation mv.</t>
  </si>
  <si>
    <t>Briketpresser inkl hammermøller og installation</t>
  </si>
  <si>
    <t>Drift</t>
  </si>
  <si>
    <t>Vedligehold</t>
  </si>
  <si>
    <t>Leje af bygning</t>
  </si>
  <si>
    <t>Personaleomkostninger</t>
  </si>
  <si>
    <t>Presser kapacitet</t>
  </si>
  <si>
    <t>Drift kWh</t>
  </si>
  <si>
    <t>kr/kWh</t>
  </si>
  <si>
    <t>kWh/m3</t>
  </si>
  <si>
    <t>Energipris</t>
  </si>
  <si>
    <t>Energiindhold i methan</t>
  </si>
  <si>
    <t>Salgspris for el</t>
  </si>
  <si>
    <t>Salgspris for varme</t>
  </si>
  <si>
    <r>
      <t>m</t>
    </r>
    <r>
      <rPr>
        <vertAlign val="superscript"/>
        <sz val="11"/>
        <color theme="1"/>
        <rFont val="Calibri"/>
        <family val="2"/>
        <scheme val="minor"/>
      </rPr>
      <t>3</t>
    </r>
    <r>
      <rPr>
        <sz val="11"/>
        <color theme="1"/>
        <rFont val="Calibri"/>
        <family val="2"/>
        <scheme val="minor"/>
      </rPr>
      <t xml:space="preserve"> CH</t>
    </r>
    <r>
      <rPr>
        <vertAlign val="subscript"/>
        <sz val="11"/>
        <color theme="1"/>
        <rFont val="Calibri"/>
        <family val="2"/>
        <scheme val="minor"/>
      </rPr>
      <t>4</t>
    </r>
    <r>
      <rPr>
        <sz val="11"/>
        <color theme="1"/>
        <rFont val="Calibri"/>
        <family val="2"/>
        <scheme val="minor"/>
      </rPr>
      <t>/tonVS</t>
    </r>
  </si>
  <si>
    <t>Ekstruderet enggræs</t>
  </si>
  <si>
    <t>Rapshalm</t>
  </si>
  <si>
    <t>Finsnitter græs, kr./ha</t>
  </si>
  <si>
    <t>Læsse/aflæsse briketter</t>
  </si>
  <si>
    <t>Engtype</t>
  </si>
  <si>
    <t>Difference</t>
  </si>
  <si>
    <t>min/ha</t>
  </si>
  <si>
    <t>!!!!!</t>
  </si>
  <si>
    <t>min/ha.</t>
  </si>
  <si>
    <t>Aflæsse, bigballer i mark</t>
  </si>
  <si>
    <t>Læsse, bigballer på lager</t>
  </si>
  <si>
    <t>Egne normværdier</t>
  </si>
  <si>
    <t>Færdigt produkt</t>
  </si>
  <si>
    <t>Maskiner anvendt til læsning</t>
  </si>
  <si>
    <t>Askeindhold</t>
  </si>
  <si>
    <t xml:space="preserve">Gaspotentiale </t>
  </si>
  <si>
    <t>Lagermetode</t>
  </si>
  <si>
    <t>Forventet udbytte</t>
  </si>
  <si>
    <t>Lade</t>
  </si>
  <si>
    <t>Lagerbehov</t>
  </si>
  <si>
    <t>Valgte lagre hos landmand</t>
  </si>
  <si>
    <t>Valgte lagre på anlæg</t>
  </si>
  <si>
    <t>Forventet omkostninger</t>
  </si>
  <si>
    <t>Procentvis udnyttelse af maskine</t>
  </si>
  <si>
    <t>%-vis udnyttelse til halm</t>
  </si>
  <si>
    <t>%-vis udnyttelse, andet</t>
  </si>
  <si>
    <t xml:space="preserve">Produktionsomkostninger for halm til biogas, decentralt </t>
  </si>
  <si>
    <t>Brikketeret halm</t>
  </si>
  <si>
    <t>Produktionsomkostninger for rapshalm til biogas</t>
  </si>
  <si>
    <t>Produktionsomkostninger for enggræs til biogas</t>
  </si>
  <si>
    <t>Transport udover 12 km</t>
  </si>
  <si>
    <t>Ny rundballepresser fra Lely: 110-130 baller i timen, bedst 143 baller i timen. 43 rundballer på 2,5 ha på 23 minutter. Gns vægt balle på 480 kg, gns fart for traktir 18 km/t. Maskinen ventes til salg fra 2016</t>
  </si>
  <si>
    <t>Ydelse på maskine</t>
  </si>
  <si>
    <t>Valgt lagringsmetode</t>
  </si>
  <si>
    <t>Bemærk: Kun lagret på anlæg</t>
  </si>
  <si>
    <t>Model</t>
  </si>
  <si>
    <t>Egne værdier</t>
  </si>
  <si>
    <t xml:space="preserve">                                                                                                                                                                                                                                                                                                                                                                                                                                                                                                                                                                                                                                                                                                                         </t>
  </si>
  <si>
    <t>Skårlægger 6 m</t>
  </si>
  <si>
    <t>Skårlægger 12 m</t>
  </si>
  <si>
    <t>Skårlægger 12 m, v 10 km/t</t>
  </si>
  <si>
    <t>Skårlægger 12 m, v 15 km/t</t>
  </si>
  <si>
    <t>Skårlægger 6 m, v 10 km/t, enggræs</t>
  </si>
  <si>
    <t>Skårlægger 6 m, v 15 km/t, emggræs</t>
  </si>
  <si>
    <t>Rundballe Wraptube</t>
  </si>
  <si>
    <t>Rundballepresser græs BioM</t>
  </si>
  <si>
    <t>Metanudbytte</t>
  </si>
  <si>
    <t>Tørt og snittet</t>
  </si>
  <si>
    <t>Ekstruderet</t>
  </si>
  <si>
    <t>Ensileret</t>
  </si>
  <si>
    <t>Bemærk: Gasudbytte afhænger af græsblanding og høsttidspunkt</t>
  </si>
  <si>
    <t>Rundballevægt, Ø160</t>
  </si>
  <si>
    <t>Rundballevægt Ø180</t>
  </si>
  <si>
    <t>Forventet ballevægt</t>
  </si>
  <si>
    <t>øre/kgTS</t>
  </si>
  <si>
    <t>Biogasanlæg betaler 55 øre/kgTS ubehandlet og ikke-lagret</t>
  </si>
  <si>
    <t>Biogasanlæg vil betale 55 øre/kg TS, græs</t>
  </si>
  <si>
    <t>Hvordan opnås denne pris?</t>
  </si>
  <si>
    <t>Enggræs cases</t>
  </si>
  <si>
    <t>Indtastninger hentet fra Enggræs:</t>
  </si>
  <si>
    <t>Hvad skal udbyttet være for at prisen på 55 øre/kgTS opnås?</t>
  </si>
  <si>
    <t xml:space="preserve">55 øre/kgTS svarer til </t>
  </si>
  <si>
    <t>kr/tonTS</t>
  </si>
  <si>
    <t>Udbytte pr ha.</t>
  </si>
  <si>
    <t>Minimumsudbyttet er</t>
  </si>
  <si>
    <r>
      <t xml:space="preserve">Case 1: Ekstrudering forgår på biogasanlægget og græsset presses i rundballer og lagres i det fri, </t>
    </r>
    <r>
      <rPr>
        <b/>
        <sz val="14"/>
        <color theme="1"/>
        <rFont val="Calibri"/>
        <family val="2"/>
        <scheme val="minor"/>
      </rPr>
      <t>ingen</t>
    </r>
    <r>
      <rPr>
        <sz val="14"/>
        <color theme="1"/>
        <rFont val="Calibri"/>
        <family val="2"/>
        <scheme val="minor"/>
      </rPr>
      <t xml:space="preserve"> transport udover 12 km.</t>
    </r>
  </si>
  <si>
    <r>
      <t xml:space="preserve">Case 2: Ekstrudering forgår på biogasanlægget og græsset presses i rundballer og lagres i det fri, </t>
    </r>
    <r>
      <rPr>
        <b/>
        <sz val="14"/>
        <color theme="1"/>
        <rFont val="Calibri"/>
        <family val="2"/>
        <scheme val="minor"/>
      </rPr>
      <t>20 km transport med traktor, ingen omlæsning</t>
    </r>
  </si>
  <si>
    <t>Hvor langt kan det transporteres uden omlæsning?</t>
  </si>
  <si>
    <t>Case 3: Ekstrudering forgår på biogasanlægget og græsset presses i rundballer og lagres i det fri, udbyttet er 5.8 ton/ha, pris er 55 øre/kgTS</t>
  </si>
  <si>
    <t>Afstand mark til anlæg</t>
  </si>
  <si>
    <t>Case 4: Som case 3, men hvornår kan det betale sig at omlæsse til lastbil?</t>
  </si>
  <si>
    <t>uden</t>
  </si>
  <si>
    <t>med lastbil</t>
  </si>
  <si>
    <t>Max afst m omlæsning er</t>
  </si>
  <si>
    <t>Så hvis græsprisen er 440 kr/ton kan det ikke betale sig at omlæsse uanset afstand</t>
  </si>
  <si>
    <t>X</t>
  </si>
  <si>
    <t>Skæring</t>
  </si>
  <si>
    <t>Afstand</t>
  </si>
  <si>
    <t>Ved kørsel længere end 29,5 km foretrækkes omlæsning til lastbil.</t>
  </si>
  <si>
    <t>Det er dog for dyrt med nuværende afregningspris.</t>
  </si>
  <si>
    <t xml:space="preserve">Max afstand u. omlæsning er </t>
  </si>
  <si>
    <t>Hvis græsprisen er højere, hvornår vil omlæsning kunne betale sig?</t>
  </si>
  <si>
    <t>NB: Vær opmærksom på at beregningerne ikke automatisk opdateres ved nye indtastningsoplysninger</t>
  </si>
  <si>
    <t>Omkostning, landmand</t>
  </si>
  <si>
    <t>Maskiner anvendt til høst</t>
  </si>
  <si>
    <t>Densitet, græsensilage</t>
  </si>
  <si>
    <t>ton/m4</t>
  </si>
  <si>
    <t>Areal</t>
  </si>
  <si>
    <t>Entry for straw</t>
  </si>
  <si>
    <t>Yield</t>
  </si>
  <si>
    <t>Cultivated area</t>
  </si>
  <si>
    <t>Yield per hectare</t>
  </si>
  <si>
    <t>Dry matter</t>
  </si>
  <si>
    <t>Methane potential</t>
  </si>
  <si>
    <t>Straw</t>
  </si>
  <si>
    <t>Extruded straw</t>
  </si>
  <si>
    <t>Briquetted straw</t>
  </si>
  <si>
    <t>Field expenses</t>
  </si>
  <si>
    <t>Raking</t>
  </si>
  <si>
    <t>Baling</t>
  </si>
  <si>
    <t>Transport to farmer/barn</t>
  </si>
  <si>
    <t>Distance</t>
  </si>
  <si>
    <t>Tractor equipped with front loader &amp; 2 bale trailers</t>
  </si>
  <si>
    <t>Capacity</t>
  </si>
  <si>
    <t>Loading rate, field</t>
  </si>
  <si>
    <t>Loading rate, stock</t>
  </si>
  <si>
    <t>Farm Loading</t>
  </si>
  <si>
    <t>Transport to facility</t>
  </si>
  <si>
    <t>Distance from farm to facility</t>
  </si>
  <si>
    <t>Bale capacity</t>
  </si>
  <si>
    <t>Capacity in tonnes</t>
  </si>
  <si>
    <t>Driving speed</t>
  </si>
  <si>
    <t>Facility loading</t>
  </si>
  <si>
    <t>End product</t>
  </si>
  <si>
    <t>Extruding expenses</t>
  </si>
  <si>
    <t>Extruder, mixer, conveyor</t>
  </si>
  <si>
    <t>Operation &amp; maintainance</t>
  </si>
  <si>
    <t>Insurance</t>
  </si>
  <si>
    <t>Service life</t>
  </si>
  <si>
    <t>Briquetting expenses</t>
  </si>
  <si>
    <t>Operation &amp; maintainence</t>
  </si>
  <si>
    <t>Yearly payment</t>
  </si>
  <si>
    <t>% usage for straw</t>
  </si>
  <si>
    <t>% usage for other crops/other farms</t>
  </si>
  <si>
    <t>Storage</t>
  </si>
  <si>
    <t>Yield as bales</t>
  </si>
  <si>
    <t>Yield as briquettes</t>
  </si>
  <si>
    <t>Type of storage</t>
  </si>
  <si>
    <t>Open barn</t>
  </si>
  <si>
    <t>Closet barn, concrete floor</t>
  </si>
  <si>
    <t>Closet barn, gravel floor</t>
  </si>
  <si>
    <t>Barn for briquettes</t>
  </si>
  <si>
    <t>Storage at farmer</t>
  </si>
  <si>
    <t>Used for straw</t>
  </si>
  <si>
    <t>Used</t>
  </si>
  <si>
    <t>% Used</t>
  </si>
  <si>
    <t xml:space="preserve"> Cost per m3</t>
  </si>
  <si>
    <t>Total cost</t>
  </si>
  <si>
    <t>Amout stored at farmer in total</t>
  </si>
  <si>
    <t>Storage, facility</t>
  </si>
  <si>
    <t>Investment</t>
  </si>
  <si>
    <t>Barn, concrete floor</t>
  </si>
  <si>
    <t>Barn, gravel floor</t>
  </si>
  <si>
    <t>Barn, gravel floor, briquettes</t>
  </si>
  <si>
    <t>Cost, kr.</t>
  </si>
  <si>
    <t>Tractor &amp; Frontloader</t>
  </si>
  <si>
    <t>Telescopic loader</t>
  </si>
  <si>
    <t>Not to be reloaded</t>
  </si>
  <si>
    <t>Usage. %</t>
  </si>
  <si>
    <t>Loading speed</t>
  </si>
  <si>
    <t>Truck &amp; container</t>
  </si>
  <si>
    <t>Dump truck</t>
  </si>
  <si>
    <t>Large dump truck</t>
  </si>
  <si>
    <t>Truck &amp; 2 trailers</t>
  </si>
  <si>
    <t>Tractor &amp; trailer</t>
  </si>
  <si>
    <t>Straw bales</t>
  </si>
  <si>
    <t xml:space="preserve">Briquetter, hammer mill, installation </t>
  </si>
  <si>
    <t>Organic matter - VS/total</t>
  </si>
  <si>
    <r>
      <t>Cost pr m</t>
    </r>
    <r>
      <rPr>
        <b/>
        <vertAlign val="superscript"/>
        <sz val="11"/>
        <color theme="1"/>
        <rFont val="Calibri"/>
        <family val="2"/>
        <scheme val="minor"/>
      </rPr>
      <t>3</t>
    </r>
  </si>
  <si>
    <t>Non straw usage</t>
  </si>
  <si>
    <t>% used</t>
  </si>
  <si>
    <t>Amount stored at facility</t>
  </si>
  <si>
    <t>Entries for decentral briquetting</t>
  </si>
  <si>
    <t>Distance to briquetter, km</t>
  </si>
  <si>
    <t>Loading/unloading - briketter</t>
  </si>
  <si>
    <t>Decentral pretreatment</t>
  </si>
  <si>
    <t>Distance, km</t>
  </si>
  <si>
    <r>
      <t>Capacitet, m</t>
    </r>
    <r>
      <rPr>
        <vertAlign val="superscript"/>
        <sz val="11"/>
        <color theme="1"/>
        <rFont val="Calibri"/>
        <family val="2"/>
        <scheme val="minor"/>
      </rPr>
      <t>3</t>
    </r>
    <r>
      <rPr>
        <sz val="11"/>
        <color theme="1"/>
        <rFont val="Calibri"/>
        <family val="2"/>
        <scheme val="minor"/>
      </rPr>
      <t>/load</t>
    </r>
  </si>
  <si>
    <t>Capacitet, ton/load</t>
  </si>
  <si>
    <t>Used in total</t>
  </si>
  <si>
    <t>kr./hr</t>
  </si>
  <si>
    <t>bales/load</t>
  </si>
  <si>
    <t>ton/load</t>
  </si>
  <si>
    <t>km/hr</t>
  </si>
  <si>
    <t>Amount stored at farmer, in total</t>
  </si>
  <si>
    <t>Amount stored at facility, in total</t>
  </si>
  <si>
    <t>Entry for rape straw</t>
  </si>
  <si>
    <t>Entry for meadow grass</t>
  </si>
  <si>
    <t>Capacity, bales</t>
  </si>
  <si>
    <t>Capacity, tonnes</t>
  </si>
  <si>
    <t>kr/hr</t>
  </si>
  <si>
    <t>Pretreatment</t>
  </si>
  <si>
    <t>Capacity used for rapes</t>
  </si>
  <si>
    <t>Capacity used for other crops/farms</t>
  </si>
  <si>
    <t>ton/yr</t>
  </si>
  <si>
    <t>yr</t>
  </si>
  <si>
    <t>Cost</t>
  </si>
  <si>
    <t>Yearly expenses</t>
  </si>
  <si>
    <t>Used for rapes</t>
  </si>
  <si>
    <t>Used for other</t>
  </si>
  <si>
    <t>Usage</t>
  </si>
  <si>
    <r>
      <t>Cost/m</t>
    </r>
    <r>
      <rPr>
        <b/>
        <vertAlign val="superscript"/>
        <sz val="11"/>
        <color theme="1"/>
        <rFont val="Calibri"/>
        <family val="2"/>
        <scheme val="minor"/>
      </rPr>
      <t>3</t>
    </r>
  </si>
  <si>
    <t>Extruded rape straw</t>
  </si>
  <si>
    <t>Briquetted rape straw</t>
  </si>
  <si>
    <t>Rape straw bales</t>
  </si>
  <si>
    <t>Rape straw</t>
  </si>
  <si>
    <t>Usage, %</t>
  </si>
  <si>
    <t>Kr./hr</t>
  </si>
  <si>
    <t>Total costs</t>
  </si>
  <si>
    <t>Storage at facility</t>
  </si>
  <si>
    <t>Weight bale</t>
  </si>
  <si>
    <t>ton/bale</t>
  </si>
  <si>
    <t>Metane potential</t>
  </si>
  <si>
    <t>Metane potential,  extruded</t>
  </si>
  <si>
    <t>Metane potential, fine cuttings</t>
  </si>
  <si>
    <t>Cutting, pressing &amp; transport (tractor &amp; wagon)</t>
  </si>
  <si>
    <t>Includes transport of approx. 12 km from field to farmer or facility</t>
  </si>
  <si>
    <t>Type of meadow</t>
  </si>
  <si>
    <t>Moist areas</t>
  </si>
  <si>
    <t>Wet areas</t>
  </si>
  <si>
    <t>Tractor</t>
  </si>
  <si>
    <r>
      <t>Piste basher</t>
    </r>
    <r>
      <rPr>
        <sz val="11"/>
        <color theme="1"/>
        <rFont val="Calibri"/>
        <family val="2"/>
        <scheme val="minor"/>
      </rPr>
      <t xml:space="preserve"> vehicle</t>
    </r>
  </si>
  <si>
    <t>Meadow grass</t>
  </si>
  <si>
    <t>Round bale</t>
  </si>
  <si>
    <t>Wrapped round bale</t>
  </si>
  <si>
    <t>Fine cutting</t>
  </si>
  <si>
    <t>Pomi tube wrap</t>
  </si>
  <si>
    <t>Bales under cover</t>
  </si>
  <si>
    <t>Open storage</t>
  </si>
  <si>
    <t>Truck</t>
  </si>
  <si>
    <t>Capacity, ton</t>
  </si>
  <si>
    <t>Storage costs</t>
  </si>
  <si>
    <t>Used capacity for meadow grass</t>
  </si>
  <si>
    <t>Used for other purposes</t>
  </si>
  <si>
    <t>Ensurance</t>
  </si>
  <si>
    <t>Expected lifetime</t>
  </si>
  <si>
    <t>Storage (only at facility)</t>
  </si>
  <si>
    <t>pcs</t>
  </si>
  <si>
    <t>Windrowing and bailing device on a</t>
  </si>
  <si>
    <t>Transport exceeding 12 km (loading/unloading incl.)</t>
  </si>
  <si>
    <t>Means of transport</t>
  </si>
  <si>
    <t xml:space="preserve">   </t>
  </si>
  <si>
    <t>Road distance</t>
  </si>
  <si>
    <t>Bales/load</t>
  </si>
  <si>
    <t>Loading equipment</t>
  </si>
  <si>
    <t>kr./yr</t>
  </si>
  <si>
    <t>End produkt:</t>
  </si>
  <si>
    <t>Straw to facility</t>
  </si>
  <si>
    <t xml:space="preserve"> Decentral briquetting</t>
  </si>
  <si>
    <t>Expected costs</t>
  </si>
  <si>
    <t>Pressing</t>
  </si>
  <si>
    <t>Storage, farmer</t>
  </si>
  <si>
    <t>Cost in total, per tonne</t>
  </si>
  <si>
    <t>Energy yield</t>
  </si>
  <si>
    <t>- Electricity</t>
  </si>
  <si>
    <t>- Heat</t>
  </si>
  <si>
    <t>Income from electricity</t>
  </si>
  <si>
    <t>Income from heat</t>
  </si>
  <si>
    <t>Income per tonne</t>
  </si>
  <si>
    <t>Total income</t>
  </si>
  <si>
    <t>- electricity</t>
  </si>
  <si>
    <t>Results meadow grass</t>
  </si>
  <si>
    <t>Cost per ton</t>
  </si>
  <si>
    <t>Cost in total</t>
  </si>
  <si>
    <t>Expected yield</t>
  </si>
  <si>
    <t>- Eelctricity</t>
  </si>
  <si>
    <t>Income fra heat</t>
  </si>
  <si>
    <t>End product:</t>
  </si>
  <si>
    <t>Results Rapes</t>
  </si>
  <si>
    <t>Expected yield (if biogas is produced)</t>
  </si>
  <si>
    <t>Expected yield (if biogas is being produced)</t>
  </si>
  <si>
    <t>Harvest, pressing, transport home</t>
  </si>
  <si>
    <t>Transport, further</t>
  </si>
  <si>
    <t>Total cost per tonne</t>
  </si>
  <si>
    <t>Expected yield, biogas</t>
  </si>
  <si>
    <t>Energy produced</t>
  </si>
  <si>
    <t>Income fraom heat</t>
  </si>
  <si>
    <t>Covered by harvest costs</t>
  </si>
  <si>
    <t>Production cost straw for biogas</t>
  </si>
  <si>
    <t>Harvest</t>
  </si>
  <si>
    <t>Transport to farmer</t>
  </si>
  <si>
    <t>Ash</t>
  </si>
  <si>
    <t>Gas potential</t>
  </si>
  <si>
    <t>Gas yield</t>
  </si>
  <si>
    <t>Storage need</t>
  </si>
  <si>
    <t>Economy</t>
  </si>
  <si>
    <t>Ecpected costs</t>
  </si>
  <si>
    <t>Press Ctrl+P for print</t>
  </si>
  <si>
    <t>Use only if straw usage is below 100% and other usage is expected</t>
  </si>
  <si>
    <t>%-useage for other</t>
  </si>
  <si>
    <t>%-useage for straw from this farm</t>
  </si>
  <si>
    <t>m3/load</t>
  </si>
  <si>
    <t>Loading</t>
  </si>
  <si>
    <t>Loading Speed</t>
  </si>
  <si>
    <t>Tractor, frontloader</t>
  </si>
  <si>
    <t>Suggested vaues</t>
  </si>
  <si>
    <t>Used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</si>
</sst>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kr.&quot;\ #,##0;[Red]&quot;kr.&quot;\ \-#,##0"/>
    <numFmt numFmtId="8" formatCode="&quot;kr.&quot;\ #,##0.00;[Red]&quot;kr.&quot;\ \-#,##0.00"/>
    <numFmt numFmtId="44" formatCode="_ &quot;kr.&quot;\ * #,##0.00_ ;_ &quot;kr.&quot;\ * \-#,##0.00_ ;_ &quot;kr.&quot;\ * &quot;-&quot;??_ ;_ @_ "/>
    <numFmt numFmtId="43" formatCode="_ * #,##0.00_ ;_ * \-#,##0.00_ ;_ * &quot;-&quot;??_ ;_ @_ "/>
    <numFmt numFmtId="164" formatCode="_ * #,##0_ ;_ * \-#,##0_ ;_ * &quot;-&quot;??_ ;_ @_ "/>
    <numFmt numFmtId="165" formatCode="_ * #,##0.0_ ;_ * \-#,##0.0_ ;_ * &quot;-&quot;??_ ;_ @_ "/>
    <numFmt numFmtId="166" formatCode="0.0%"/>
    <numFmt numFmtId="167" formatCode="0.0"/>
    <numFmt numFmtId="168" formatCode="_ [$kr.-406]\ * #,##0_ ;_ [$kr.-406]\ * \-#,##0_ ;_ [$kr.-406]\ * &quot;-&quot;??_ ;_ @_ "/>
    <numFmt numFmtId="169" formatCode="_ &quot;kr.&quot;\ * #,##0_ ;_ &quot;kr.&quot;\ * \-#,##0_ ;_ &quot;kr.&quot;\ * &quot;-&quot;??_ ;_ @_ "/>
    <numFmt numFmtId="170" formatCode="0.000"/>
    <numFmt numFmtId="171" formatCode="&quot;kr.&quot;\ #,##0"/>
  </numFmts>
  <fonts count="58" x14ac:knownFonts="1">
    <font>
      <sz val="11"/>
      <color theme="1"/>
      <name val="Calibri"/>
      <family val="2"/>
      <scheme val="minor"/>
    </font>
    <font>
      <sz val="11"/>
      <name val="Calibri"/>
      <family val="2"/>
    </font>
    <font>
      <sz val="11"/>
      <name val="Calibri"/>
      <family val="2"/>
    </font>
    <font>
      <sz val="11"/>
      <name val="Calibri"/>
      <family val="2"/>
    </font>
    <font>
      <sz val="11"/>
      <color theme="0"/>
      <name val="Calibri"/>
      <family val="2"/>
      <scheme val="minor"/>
    </font>
    <font>
      <b/>
      <i/>
      <sz val="11"/>
      <color theme="1"/>
      <name val="Calibri"/>
      <family val="2"/>
      <scheme val="minor"/>
    </font>
    <font>
      <sz val="11"/>
      <name val="Calibri"/>
      <family val="2"/>
      <scheme val="minor"/>
    </font>
    <font>
      <b/>
      <u/>
      <sz val="16"/>
      <color theme="1"/>
      <name val="Calibri"/>
      <family val="2"/>
      <scheme val="minor"/>
    </font>
    <font>
      <i/>
      <u/>
      <sz val="11"/>
      <color theme="1"/>
      <name val="Calibri"/>
      <family val="2"/>
      <scheme val="minor"/>
    </font>
    <font>
      <sz val="11"/>
      <color indexed="8"/>
      <name val="Calibri"/>
      <family val="2"/>
      <scheme val="minor"/>
    </font>
    <font>
      <b/>
      <sz val="16"/>
      <name val="Calibri"/>
      <family val="2"/>
      <scheme val="minor"/>
    </font>
    <font>
      <sz val="11"/>
      <color theme="1"/>
      <name val="Calibri"/>
      <family val="2"/>
      <scheme val="minor"/>
    </font>
    <font>
      <b/>
      <sz val="9"/>
      <color theme="0"/>
      <name val="Arial"/>
      <family val="2"/>
    </font>
    <font>
      <b/>
      <sz val="11"/>
      <color theme="1"/>
      <name val="Calibri"/>
      <family val="2"/>
      <scheme val="minor"/>
    </font>
    <font>
      <b/>
      <sz val="16"/>
      <color theme="1"/>
      <name val="Calibri"/>
      <family val="2"/>
      <scheme val="minor"/>
    </font>
    <font>
      <b/>
      <sz val="9"/>
      <color rgb="FF3F3F3F"/>
      <name val="Arial"/>
      <family val="2"/>
    </font>
    <font>
      <sz val="11"/>
      <color rgb="FF000000"/>
      <name val="Calibri"/>
      <family val="2"/>
    </font>
    <font>
      <sz val="8"/>
      <color rgb="FF000000"/>
      <name val="Tahoma"/>
      <family val="2"/>
    </font>
    <font>
      <u/>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4"/>
      <color theme="1"/>
      <name val="Calibri"/>
      <family val="2"/>
      <scheme val="minor"/>
    </font>
    <font>
      <i/>
      <u/>
      <sz val="12"/>
      <color theme="1"/>
      <name val="Calibri"/>
      <family val="2"/>
      <scheme val="minor"/>
    </font>
    <font>
      <sz val="11"/>
      <color rgb="FF006100"/>
      <name val="Calibri"/>
      <family val="2"/>
      <scheme val="minor"/>
    </font>
    <font>
      <sz val="11"/>
      <color rgb="FF3F3F76"/>
      <name val="Calibri"/>
      <family val="2"/>
      <scheme val="minor"/>
    </font>
    <font>
      <b/>
      <sz val="11"/>
      <color rgb="FFFA7D00"/>
      <name val="Calibri"/>
      <family val="2"/>
      <scheme val="minor"/>
    </font>
    <font>
      <sz val="11"/>
      <color theme="0" tint="-0.34998626667073579"/>
      <name val="Calibri"/>
      <family val="2"/>
      <scheme val="minor"/>
    </font>
    <font>
      <i/>
      <sz val="11"/>
      <color theme="1"/>
      <name val="Calibri"/>
      <family val="2"/>
      <scheme val="minor"/>
    </font>
    <font>
      <vertAlign val="superscript"/>
      <sz val="11"/>
      <color theme="1"/>
      <name val="Calibri"/>
      <family val="2"/>
      <scheme val="minor"/>
    </font>
    <font>
      <vertAlign val="subscript"/>
      <sz val="11"/>
      <name val="Calibri"/>
      <family val="2"/>
      <scheme val="minor"/>
    </font>
    <font>
      <b/>
      <sz val="11"/>
      <name val="Calibri"/>
      <family val="2"/>
      <scheme val="minor"/>
    </font>
    <font>
      <sz val="11"/>
      <color rgb="FFFF0000"/>
      <name val="Calibri"/>
      <family val="2"/>
      <scheme val="minor"/>
    </font>
    <font>
      <b/>
      <sz val="16"/>
      <color rgb="FFFF0000"/>
      <name val="Calibri"/>
      <family val="2"/>
      <scheme val="minor"/>
    </font>
    <font>
      <sz val="14"/>
      <color theme="1"/>
      <name val="Calibri"/>
      <family val="2"/>
      <scheme val="minor"/>
    </font>
    <font>
      <b/>
      <sz val="18"/>
      <color theme="1"/>
      <name val="Calibri"/>
      <family val="2"/>
      <scheme val="minor"/>
    </font>
    <font>
      <sz val="16"/>
      <color theme="1"/>
      <name val="Calibri"/>
      <family val="2"/>
      <scheme val="minor"/>
    </font>
    <font>
      <sz val="11"/>
      <color theme="3" tint="0.79998168889431442"/>
      <name val="Calibri"/>
      <family val="2"/>
      <scheme val="minor"/>
    </font>
    <font>
      <sz val="11"/>
      <color theme="0"/>
      <name val="Calibri"/>
      <family val="2"/>
    </font>
    <font>
      <b/>
      <vertAlign val="superscript"/>
      <sz val="11"/>
      <color theme="1"/>
      <name val="Calibri"/>
      <family val="2"/>
      <scheme val="minor"/>
    </font>
    <font>
      <sz val="11"/>
      <color theme="3" tint="0.59999389629810485"/>
      <name val="Calibri"/>
      <family val="2"/>
      <scheme val="minor"/>
    </font>
    <font>
      <sz val="11"/>
      <color rgb="FF3F3F3F"/>
      <name val="Calibri"/>
      <family val="2"/>
      <scheme val="minor"/>
    </font>
    <font>
      <i/>
      <sz val="11"/>
      <name val="Calibri"/>
      <family val="2"/>
      <scheme val="minor"/>
    </font>
    <font>
      <b/>
      <sz val="11"/>
      <color rgb="FF3F3F3F"/>
      <name val="Calibri"/>
      <family val="2"/>
      <scheme val="minor"/>
    </font>
    <font>
      <sz val="11"/>
      <color theme="0" tint="-0.14999847407452621"/>
      <name val="Calibri"/>
      <family val="2"/>
      <scheme val="minor"/>
    </font>
    <font>
      <u/>
      <sz val="11"/>
      <color theme="0" tint="-0.249977111117893"/>
      <name val="Calibri"/>
      <family val="2"/>
      <scheme val="minor"/>
    </font>
    <font>
      <sz val="11"/>
      <color theme="0" tint="-0.249977111117893"/>
      <name val="Calibri"/>
      <family val="2"/>
      <scheme val="minor"/>
    </font>
    <font>
      <vertAlign val="subscript"/>
      <sz val="11"/>
      <color theme="1"/>
      <name val="Calibri"/>
      <family val="2"/>
      <scheme val="minor"/>
    </font>
    <font>
      <b/>
      <sz val="11"/>
      <color theme="0" tint="-0.249977111117893"/>
      <name val="Calibri"/>
      <family val="2"/>
      <scheme val="minor"/>
    </font>
    <font>
      <b/>
      <sz val="14"/>
      <color rgb="FF3F3F3F"/>
      <name val="Calibri"/>
      <family val="2"/>
      <scheme val="minor"/>
    </font>
    <font>
      <b/>
      <sz val="11"/>
      <color theme="0"/>
      <name val="Calibri"/>
      <family val="2"/>
      <scheme val="minor"/>
    </font>
    <font>
      <i/>
      <sz val="11"/>
      <color theme="0" tint="-0.249977111117893"/>
      <name val="Calibri"/>
      <family val="2"/>
      <scheme val="minor"/>
    </font>
    <font>
      <b/>
      <i/>
      <sz val="11"/>
      <name val="Calibri"/>
      <family val="2"/>
      <scheme val="minor"/>
    </font>
    <font>
      <u/>
      <sz val="11"/>
      <name val="Calibri"/>
      <family val="2"/>
      <scheme val="minor"/>
    </font>
    <font>
      <i/>
      <sz val="10"/>
      <color theme="1"/>
      <name val="Calibri"/>
      <family val="2"/>
      <scheme val="minor"/>
    </font>
    <font>
      <b/>
      <sz val="18"/>
      <name val="Calibri"/>
      <family val="2"/>
      <scheme val="minor"/>
    </font>
    <font>
      <sz val="16"/>
      <name val="Calibri"/>
      <family val="2"/>
      <scheme val="minor"/>
    </font>
    <font>
      <i/>
      <sz val="10"/>
      <name val="Calibri"/>
      <family val="2"/>
      <scheme val="minor"/>
    </font>
  </fonts>
  <fills count="20">
    <fill>
      <patternFill patternType="none"/>
    </fill>
    <fill>
      <patternFill patternType="gray125"/>
    </fill>
    <fill>
      <patternFill patternType="solid">
        <fgColor rgb="FFA5A5A5"/>
      </patternFill>
    </fill>
    <fill>
      <patternFill patternType="solid">
        <fgColor theme="3" tint="0.79998168889431442"/>
        <bgColor indexed="64"/>
      </patternFill>
    </fill>
    <fill>
      <patternFill patternType="solid">
        <fgColor rgb="FFF2F2F2"/>
      </patternFill>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C99"/>
      </patternFill>
    </fill>
    <fill>
      <patternFill patternType="solid">
        <fgColor theme="6"/>
      </patternFill>
    </fill>
    <fill>
      <patternFill patternType="solid">
        <fgColor theme="9" tint="0.39997558519241921"/>
        <bgColor indexed="65"/>
      </patternFill>
    </fill>
    <fill>
      <patternFill patternType="solid">
        <fgColor rgb="FFFFFF0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39997558519241921"/>
        <bgColor indexed="64"/>
      </patternFill>
    </fill>
  </fills>
  <borders count="37">
    <border>
      <left/>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rgb="FF3F3F3F"/>
      </left>
      <right/>
      <top style="thin">
        <color rgb="FF3F3F3F"/>
      </top>
      <bottom style="thin">
        <color rgb="FF3F3F3F"/>
      </bottom>
      <diagonal/>
    </border>
    <border>
      <left style="thin">
        <color indexed="64"/>
      </left>
      <right/>
      <top style="thin">
        <color indexed="64"/>
      </top>
      <bottom style="thin">
        <color rgb="FF3F3F3F"/>
      </bottom>
      <diagonal/>
    </border>
    <border>
      <left style="thin">
        <color indexed="64"/>
      </left>
      <right/>
      <top style="thin">
        <color rgb="FF3F3F3F"/>
      </top>
      <bottom style="thin">
        <color rgb="FF3F3F3F"/>
      </bottom>
      <diagonal/>
    </border>
    <border>
      <left style="thin">
        <color indexed="64"/>
      </left>
      <right/>
      <top style="thin">
        <color rgb="FF3F3F3F"/>
      </top>
      <bottom style="thin">
        <color indexed="64"/>
      </bottom>
      <diagonal/>
    </border>
    <border>
      <left style="thin">
        <color rgb="FF3F3F3F"/>
      </left>
      <right/>
      <top style="thin">
        <color indexed="64"/>
      </top>
      <bottom style="thin">
        <color indexed="64"/>
      </bottom>
      <diagonal/>
    </border>
    <border>
      <left style="thin">
        <color indexed="64"/>
      </left>
      <right style="thin">
        <color rgb="FF3F3F3F"/>
      </right>
      <top/>
      <bottom/>
      <diagonal/>
    </border>
    <border>
      <left/>
      <right style="thin">
        <color rgb="FF3F3F3F"/>
      </right>
      <top/>
      <bottom/>
      <diagonal/>
    </border>
    <border>
      <left style="thin">
        <color rgb="FF3F3F3F"/>
      </left>
      <right/>
      <top style="thin">
        <color rgb="FF3F3F3F"/>
      </top>
      <bottom style="thin">
        <color indexed="64"/>
      </bottom>
      <diagonal/>
    </border>
    <border>
      <left/>
      <right/>
      <top style="thin">
        <color indexed="64"/>
      </top>
      <bottom style="double">
        <color indexed="64"/>
      </bottom>
      <diagonal/>
    </border>
    <border>
      <left style="thin">
        <color indexed="64"/>
      </left>
      <right style="thin">
        <color rgb="FF3F3F3F"/>
      </right>
      <top style="thin">
        <color indexed="64"/>
      </top>
      <bottom style="thin">
        <color indexed="64"/>
      </bottom>
      <diagonal/>
    </border>
    <border>
      <left style="medium">
        <color indexed="64"/>
      </left>
      <right style="medium">
        <color indexed="64"/>
      </right>
      <top/>
      <bottom/>
      <diagonal/>
    </border>
  </borders>
  <cellStyleXfs count="13">
    <xf numFmtId="0" fontId="0" fillId="0" borderId="0"/>
    <xf numFmtId="43" fontId="11" fillId="0" borderId="0" applyFont="0" applyFill="0" applyBorder="0" applyAlignment="0" applyProtection="0"/>
    <xf numFmtId="0" fontId="38" fillId="2" borderId="1" applyNumberFormat="0" applyAlignment="0" applyProtection="0"/>
    <xf numFmtId="0" fontId="15" fillId="4" borderId="2" applyNumberFormat="0" applyAlignment="0" applyProtection="0"/>
    <xf numFmtId="9" fontId="11" fillId="0" borderId="0" applyFont="0" applyFill="0" applyBorder="0" applyAlignment="0" applyProtection="0"/>
    <xf numFmtId="0" fontId="24" fillId="9" borderId="0" applyNumberFormat="0" applyBorder="0" applyAlignment="0" applyProtection="0"/>
    <xf numFmtId="0" fontId="25" fillId="10" borderId="16" applyNumberFormat="0" applyAlignment="0" applyProtection="0"/>
    <xf numFmtId="0" fontId="4" fillId="11" borderId="0" applyNumberFormat="0" applyBorder="0" applyAlignment="0" applyProtection="0"/>
    <xf numFmtId="0" fontId="26" fillId="4" borderId="16" applyNumberFormat="0" applyAlignment="0" applyProtection="0"/>
    <xf numFmtId="0" fontId="4" fillId="12" borderId="0" applyNumberFormat="0" applyBorder="0" applyAlignment="0" applyProtection="0"/>
    <xf numFmtId="44" fontId="11" fillId="0" borderId="0" applyFont="0" applyFill="0" applyBorder="0" applyAlignment="0" applyProtection="0"/>
    <xf numFmtId="0" fontId="3" fillId="3" borderId="17" applyNumberFormat="0" applyAlignment="0" applyProtection="0"/>
    <xf numFmtId="0" fontId="4" fillId="16" borderId="0" applyNumberFormat="0" applyBorder="0" applyAlignment="0" applyProtection="0"/>
  </cellStyleXfs>
  <cellXfs count="481">
    <xf numFmtId="0" fontId="0" fillId="0" borderId="0" xfId="0"/>
    <xf numFmtId="0" fontId="5" fillId="0" borderId="0" xfId="0" applyFont="1"/>
    <xf numFmtId="0" fontId="6" fillId="0" borderId="0" xfId="0" applyFont="1"/>
    <xf numFmtId="0" fontId="10" fillId="3" borderId="0" xfId="0" applyFont="1" applyFill="1"/>
    <xf numFmtId="0" fontId="0" fillId="3" borderId="0" xfId="0" applyFill="1"/>
    <xf numFmtId="0" fontId="5" fillId="3" borderId="0" xfId="0" applyFont="1" applyFill="1"/>
    <xf numFmtId="0" fontId="14" fillId="3" borderId="0" xfId="0" applyFont="1" applyFill="1" applyAlignment="1">
      <alignment wrapText="1"/>
    </xf>
    <xf numFmtId="0" fontId="0" fillId="3" borderId="0" xfId="0" applyFont="1" applyFill="1"/>
    <xf numFmtId="0" fontId="7" fillId="3" borderId="0" xfId="0" applyFont="1" applyFill="1"/>
    <xf numFmtId="0" fontId="8" fillId="3" borderId="0" xfId="0" applyFont="1" applyFill="1"/>
    <xf numFmtId="0" fontId="9" fillId="3" borderId="0" xfId="0" applyFont="1" applyFill="1"/>
    <xf numFmtId="0" fontId="4" fillId="3" borderId="0" xfId="0" applyFont="1" applyFill="1"/>
    <xf numFmtId="0" fontId="0" fillId="3" borderId="0" xfId="0" applyFill="1" applyBorder="1"/>
    <xf numFmtId="0" fontId="0" fillId="3" borderId="3" xfId="0" applyFill="1" applyBorder="1"/>
    <xf numFmtId="1" fontId="0" fillId="3" borderId="0" xfId="0" applyNumberFormat="1" applyFill="1" applyBorder="1"/>
    <xf numFmtId="0" fontId="0" fillId="0" borderId="0" xfId="0" applyBorder="1"/>
    <xf numFmtId="0" fontId="0" fillId="0" borderId="8" xfId="0" applyBorder="1"/>
    <xf numFmtId="0" fontId="0" fillId="0" borderId="0" xfId="0" applyFill="1" applyBorder="1"/>
    <xf numFmtId="0" fontId="0" fillId="0" borderId="7" xfId="0" applyBorder="1"/>
    <xf numFmtId="0" fontId="0" fillId="5" borderId="0" xfId="0" applyFill="1" applyBorder="1"/>
    <xf numFmtId="167" fontId="0" fillId="5" borderId="0" xfId="0" applyNumberFormat="1" applyFill="1" applyBorder="1"/>
    <xf numFmtId="1" fontId="0" fillId="5" borderId="0" xfId="0" applyNumberFormat="1" applyFill="1" applyBorder="1"/>
    <xf numFmtId="165" fontId="0" fillId="5" borderId="0" xfId="1" applyNumberFormat="1" applyFont="1" applyFill="1" applyBorder="1"/>
    <xf numFmtId="164" fontId="0" fillId="5" borderId="0" xfId="1" applyNumberFormat="1" applyFont="1" applyFill="1" applyBorder="1"/>
    <xf numFmtId="164" fontId="0" fillId="5" borderId="0" xfId="0" applyNumberFormat="1" applyFill="1" applyBorder="1"/>
    <xf numFmtId="0" fontId="0" fillId="5" borderId="10" xfId="0" applyFill="1" applyBorder="1"/>
    <xf numFmtId="0" fontId="14" fillId="3" borderId="0" xfId="0" applyFont="1" applyFill="1"/>
    <xf numFmtId="8" fontId="0" fillId="3" borderId="0" xfId="0" applyNumberFormat="1" applyFill="1"/>
    <xf numFmtId="164" fontId="0" fillId="3" borderId="0" xfId="0" applyNumberFormat="1" applyFill="1"/>
    <xf numFmtId="0" fontId="23" fillId="3" borderId="0" xfId="0" applyFont="1" applyFill="1"/>
    <xf numFmtId="0" fontId="0" fillId="7" borderId="0" xfId="0" applyFill="1"/>
    <xf numFmtId="0" fontId="0" fillId="7" borderId="0" xfId="0" applyFill="1" applyAlignment="1">
      <alignment wrapText="1"/>
    </xf>
    <xf numFmtId="9" fontId="0" fillId="7" borderId="0" xfId="0" applyNumberFormat="1" applyFill="1"/>
    <xf numFmtId="0" fontId="0" fillId="3" borderId="0" xfId="0" applyFill="1" applyAlignment="1">
      <alignment horizontal="left"/>
    </xf>
    <xf numFmtId="0" fontId="0" fillId="0" borderId="0" xfId="0" applyFill="1"/>
    <xf numFmtId="0" fontId="0" fillId="7" borderId="0" xfId="0" applyFill="1" applyBorder="1"/>
    <xf numFmtId="0" fontId="0" fillId="7" borderId="3" xfId="0" applyFill="1" applyBorder="1"/>
    <xf numFmtId="164" fontId="0" fillId="7" borderId="0" xfId="1" applyNumberFormat="1" applyFont="1" applyFill="1" applyBorder="1"/>
    <xf numFmtId="1" fontId="0" fillId="7" borderId="0" xfId="0" applyNumberFormat="1" applyFill="1" applyBorder="1"/>
    <xf numFmtId="1" fontId="0" fillId="7" borderId="0" xfId="1" applyNumberFormat="1" applyFont="1" applyFill="1" applyBorder="1"/>
    <xf numFmtId="164" fontId="11" fillId="7" borderId="0" xfId="1" applyNumberFormat="1" applyFont="1" applyFill="1" applyBorder="1"/>
    <xf numFmtId="0" fontId="13" fillId="7" borderId="0" xfId="0" applyFont="1" applyFill="1" applyBorder="1"/>
    <xf numFmtId="167" fontId="0" fillId="7" borderId="0" xfId="0" applyNumberFormat="1" applyFill="1" applyBorder="1"/>
    <xf numFmtId="0" fontId="18" fillId="7" borderId="0" xfId="0" applyFont="1" applyFill="1" applyBorder="1"/>
    <xf numFmtId="0" fontId="0" fillId="7" borderId="0" xfId="0" applyFont="1" applyFill="1" applyBorder="1"/>
    <xf numFmtId="9" fontId="0" fillId="0" borderId="0" xfId="0" applyNumberFormat="1" applyFill="1"/>
    <xf numFmtId="164" fontId="0" fillId="0" borderId="0" xfId="0" applyNumberFormat="1"/>
    <xf numFmtId="6" fontId="0" fillId="0" borderId="0" xfId="0" applyNumberFormat="1"/>
    <xf numFmtId="164" fontId="0" fillId="3" borderId="0" xfId="1" applyNumberFormat="1" applyFont="1" applyFill="1"/>
    <xf numFmtId="0" fontId="28" fillId="3" borderId="0" xfId="0" applyFont="1" applyFill="1"/>
    <xf numFmtId="0" fontId="6" fillId="3" borderId="0" xfId="8" applyFont="1" applyFill="1" applyBorder="1"/>
    <xf numFmtId="166" fontId="12" fillId="3" borderId="0" xfId="4" applyNumberFormat="1" applyFont="1" applyFill="1" applyBorder="1" applyAlignment="1">
      <alignment horizontal="right"/>
    </xf>
    <xf numFmtId="9" fontId="0" fillId="0" borderId="0" xfId="4" applyFont="1"/>
    <xf numFmtId="1" fontId="0" fillId="0" borderId="0" xfId="0" applyNumberFormat="1"/>
    <xf numFmtId="0" fontId="33" fillId="3" borderId="0" xfId="0" applyFont="1" applyFill="1"/>
    <xf numFmtId="0" fontId="32" fillId="3" borderId="0" xfId="0" applyFont="1" applyFill="1"/>
    <xf numFmtId="2" fontId="38" fillId="3" borderId="0" xfId="2" applyNumberFormat="1" applyFill="1" applyBorder="1"/>
    <xf numFmtId="167" fontId="0" fillId="3" borderId="0" xfId="0" applyNumberFormat="1" applyFill="1"/>
    <xf numFmtId="1" fontId="0" fillId="3" borderId="0" xfId="0" applyNumberFormat="1" applyFill="1"/>
    <xf numFmtId="0" fontId="34" fillId="3" borderId="0" xfId="0" applyFont="1" applyFill="1"/>
    <xf numFmtId="37" fontId="0" fillId="3" borderId="0" xfId="0" applyNumberFormat="1" applyFill="1"/>
    <xf numFmtId="169" fontId="6" fillId="3" borderId="0" xfId="10" applyNumberFormat="1" applyFont="1" applyFill="1"/>
    <xf numFmtId="169" fontId="0" fillId="3" borderId="0" xfId="10" applyNumberFormat="1" applyFont="1" applyFill="1"/>
    <xf numFmtId="164" fontId="6" fillId="3" borderId="0" xfId="7" applyNumberFormat="1" applyFont="1" applyFill="1"/>
    <xf numFmtId="0" fontId="0" fillId="3" borderId="0" xfId="0" applyNumberFormat="1" applyFill="1"/>
    <xf numFmtId="0" fontId="28" fillId="3" borderId="0" xfId="0" applyNumberFormat="1" applyFont="1" applyFill="1"/>
    <xf numFmtId="0" fontId="0" fillId="0" borderId="0" xfId="0" applyFill="1" applyBorder="1" applyAlignment="1">
      <alignment horizontal="left" indent="1"/>
    </xf>
    <xf numFmtId="0" fontId="36" fillId="0" borderId="0" xfId="0" applyFont="1" applyFill="1" applyBorder="1"/>
    <xf numFmtId="0" fontId="13" fillId="0" borderId="0" xfId="0" applyFont="1" applyFill="1" applyBorder="1"/>
    <xf numFmtId="3" fontId="0" fillId="0" borderId="0" xfId="0" applyNumberFormat="1" applyFill="1" applyBorder="1"/>
    <xf numFmtId="167" fontId="0" fillId="0" borderId="0" xfId="0" applyNumberFormat="1" applyFill="1" applyBorder="1"/>
    <xf numFmtId="3" fontId="13" fillId="0" borderId="0" xfId="0" applyNumberFormat="1" applyFont="1" applyFill="1" applyBorder="1"/>
    <xf numFmtId="0" fontId="13" fillId="0" borderId="0" xfId="0" applyFont="1" applyFill="1" applyBorder="1" applyAlignment="1">
      <alignment horizontal="left" indent="1"/>
    </xf>
    <xf numFmtId="4" fontId="0" fillId="0" borderId="0" xfId="0" applyNumberFormat="1" applyFill="1" applyBorder="1"/>
    <xf numFmtId="0" fontId="5" fillId="3" borderId="0" xfId="0" applyNumberFormat="1" applyFont="1" applyFill="1"/>
    <xf numFmtId="0" fontId="0" fillId="3" borderId="10" xfId="0" applyFill="1" applyBorder="1"/>
    <xf numFmtId="1" fontId="0" fillId="3" borderId="10" xfId="0" applyNumberFormat="1" applyFill="1" applyBorder="1"/>
    <xf numFmtId="37" fontId="3" fillId="3" borderId="0" xfId="11" applyNumberFormat="1" applyFill="1" applyBorder="1"/>
    <xf numFmtId="0" fontId="3" fillId="3" borderId="0" xfId="11" applyFill="1" applyBorder="1"/>
    <xf numFmtId="167" fontId="3" fillId="3" borderId="0" xfId="11" applyNumberFormat="1" applyFill="1" applyBorder="1"/>
    <xf numFmtId="0" fontId="6" fillId="3" borderId="0" xfId="0" applyFont="1" applyFill="1" applyBorder="1"/>
    <xf numFmtId="0" fontId="6" fillId="3" borderId="0" xfId="0" applyFont="1" applyFill="1"/>
    <xf numFmtId="0" fontId="3" fillId="3" borderId="0" xfId="2" applyFont="1" applyFill="1" applyBorder="1"/>
    <xf numFmtId="1" fontId="3" fillId="3" borderId="0" xfId="11" applyNumberFormat="1" applyFill="1" applyBorder="1"/>
    <xf numFmtId="0" fontId="3" fillId="8" borderId="12" xfId="2" applyFont="1" applyFill="1" applyBorder="1"/>
    <xf numFmtId="37" fontId="3" fillId="8" borderId="12" xfId="2" applyNumberFormat="1" applyFont="1" applyFill="1" applyBorder="1"/>
    <xf numFmtId="9" fontId="3" fillId="8" borderId="12" xfId="2" applyNumberFormat="1" applyFont="1" applyFill="1" applyBorder="1"/>
    <xf numFmtId="2" fontId="3" fillId="3" borderId="0" xfId="2" applyNumberFormat="1" applyFont="1" applyFill="1" applyBorder="1"/>
    <xf numFmtId="1" fontId="6" fillId="3" borderId="0" xfId="4" applyNumberFormat="1" applyFont="1" applyFill="1" applyBorder="1" applyProtection="1">
      <protection locked="0"/>
    </xf>
    <xf numFmtId="1" fontId="3" fillId="3" borderId="0" xfId="2" applyNumberFormat="1" applyFont="1" applyFill="1" applyBorder="1"/>
    <xf numFmtId="37" fontId="0" fillId="3" borderId="10" xfId="0" applyNumberFormat="1" applyFill="1" applyBorder="1" applyProtection="1">
      <protection locked="0"/>
    </xf>
    <xf numFmtId="37" fontId="0" fillId="3" borderId="10" xfId="0" applyNumberFormat="1" applyFill="1" applyBorder="1"/>
    <xf numFmtId="37" fontId="0" fillId="3" borderId="0" xfId="0" applyNumberFormat="1" applyFill="1" applyBorder="1" applyProtection="1">
      <protection locked="0"/>
    </xf>
    <xf numFmtId="164" fontId="6" fillId="3" borderId="0" xfId="1" applyNumberFormat="1" applyFont="1" applyFill="1" applyBorder="1" applyAlignment="1">
      <alignment horizontal="right"/>
    </xf>
    <xf numFmtId="37" fontId="3" fillId="3" borderId="0" xfId="2" applyNumberFormat="1" applyFont="1" applyFill="1" applyBorder="1" applyAlignment="1">
      <alignment horizontal="left"/>
    </xf>
    <xf numFmtId="0" fontId="6" fillId="3" borderId="0" xfId="6" applyFont="1" applyFill="1" applyBorder="1" applyAlignment="1">
      <alignment horizontal="left"/>
    </xf>
    <xf numFmtId="37" fontId="3" fillId="3" borderId="0" xfId="11" applyNumberFormat="1" applyFont="1" applyFill="1" applyBorder="1" applyAlignment="1">
      <alignment horizontal="left"/>
    </xf>
    <xf numFmtId="9" fontId="3" fillId="3" borderId="0" xfId="2" applyNumberFormat="1" applyFont="1" applyFill="1" applyBorder="1" applyAlignment="1">
      <alignment horizontal="left"/>
    </xf>
    <xf numFmtId="0" fontId="6" fillId="3" borderId="0" xfId="0" applyFont="1" applyFill="1" applyBorder="1" applyAlignment="1">
      <alignment horizontal="left"/>
    </xf>
    <xf numFmtId="1" fontId="6" fillId="3" borderId="0" xfId="4" applyNumberFormat="1" applyFont="1" applyFill="1" applyBorder="1" applyAlignment="1">
      <alignment horizontal="left"/>
    </xf>
    <xf numFmtId="0" fontId="6" fillId="3" borderId="0" xfId="0" applyFont="1" applyFill="1" applyAlignment="1">
      <alignment horizontal="left"/>
    </xf>
    <xf numFmtId="0" fontId="3" fillId="3" borderId="0" xfId="11" applyFont="1" applyFill="1" applyBorder="1" applyAlignment="1">
      <alignment horizontal="left"/>
    </xf>
    <xf numFmtId="0" fontId="3" fillId="3" borderId="0" xfId="2" applyFont="1" applyFill="1" applyBorder="1" applyAlignment="1">
      <alignment horizontal="left"/>
    </xf>
    <xf numFmtId="167" fontId="3" fillId="3" borderId="0" xfId="11" applyNumberFormat="1" applyFont="1" applyFill="1" applyBorder="1" applyAlignment="1">
      <alignment horizontal="left"/>
    </xf>
    <xf numFmtId="0" fontId="0" fillId="3" borderId="0" xfId="0" applyFill="1" applyBorder="1" applyAlignment="1">
      <alignment horizontal="left"/>
    </xf>
    <xf numFmtId="0" fontId="3" fillId="3" borderId="0" xfId="11" applyFill="1" applyBorder="1" applyAlignment="1">
      <alignment horizontal="left"/>
    </xf>
    <xf numFmtId="0" fontId="0" fillId="3" borderId="0" xfId="0" applyFill="1" applyAlignment="1"/>
    <xf numFmtId="164" fontId="6" fillId="3" borderId="0" xfId="1" applyNumberFormat="1" applyFont="1" applyFill="1" applyBorder="1" applyAlignment="1"/>
    <xf numFmtId="166" fontId="12" fillId="3" borderId="0" xfId="4" applyNumberFormat="1" applyFont="1" applyFill="1" applyBorder="1" applyAlignment="1"/>
    <xf numFmtId="0" fontId="13" fillId="3" borderId="0" xfId="0" applyFont="1" applyFill="1"/>
    <xf numFmtId="0" fontId="0" fillId="3" borderId="18" xfId="0" applyFill="1" applyBorder="1"/>
    <xf numFmtId="0" fontId="0" fillId="3" borderId="19" xfId="0" applyFill="1" applyBorder="1"/>
    <xf numFmtId="1" fontId="0" fillId="3" borderId="19" xfId="0" applyNumberFormat="1" applyFill="1" applyBorder="1"/>
    <xf numFmtId="0" fontId="0" fillId="3" borderId="20" xfId="0" applyFill="1" applyBorder="1"/>
    <xf numFmtId="0" fontId="0" fillId="3" borderId="21" xfId="0" applyFill="1" applyBorder="1"/>
    <xf numFmtId="0" fontId="0" fillId="3" borderId="22" xfId="0" applyFill="1" applyBorder="1"/>
    <xf numFmtId="0" fontId="5" fillId="3" borderId="0" xfId="0" applyFont="1" applyFill="1" applyBorder="1"/>
    <xf numFmtId="0" fontId="13" fillId="3" borderId="0" xfId="0" applyFont="1" applyFill="1" applyBorder="1" applyAlignment="1">
      <alignment horizontal="center"/>
    </xf>
    <xf numFmtId="9" fontId="0" fillId="3" borderId="0" xfId="4" applyFont="1" applyFill="1" applyBorder="1"/>
    <xf numFmtId="0" fontId="0" fillId="3" borderId="0" xfId="0" applyNumberFormat="1" applyFill="1" applyBorder="1"/>
    <xf numFmtId="9" fontId="37" fillId="3" borderId="0" xfId="0" applyNumberFormat="1" applyFont="1" applyFill="1" applyBorder="1"/>
    <xf numFmtId="0" fontId="0" fillId="3" borderId="23" xfId="0" applyFill="1" applyBorder="1"/>
    <xf numFmtId="0" fontId="0" fillId="3" borderId="3" xfId="0" applyNumberFormat="1" applyFill="1" applyBorder="1"/>
    <xf numFmtId="0" fontId="0" fillId="3" borderId="24" xfId="0" applyFill="1" applyBorder="1"/>
    <xf numFmtId="0" fontId="0" fillId="3" borderId="19" xfId="0" applyNumberFormat="1" applyFill="1" applyBorder="1"/>
    <xf numFmtId="37" fontId="0" fillId="3" borderId="0" xfId="0" applyNumberFormat="1" applyFill="1" applyBorder="1"/>
    <xf numFmtId="9" fontId="37" fillId="3" borderId="0" xfId="4" applyFont="1" applyFill="1" applyBorder="1"/>
    <xf numFmtId="38" fontId="0" fillId="3" borderId="0" xfId="0" applyNumberFormat="1" applyFill="1"/>
    <xf numFmtId="37" fontId="0" fillId="3" borderId="0" xfId="4" applyNumberFormat="1" applyFont="1" applyFill="1" applyBorder="1"/>
    <xf numFmtId="37" fontId="0" fillId="3" borderId="3" xfId="0" applyNumberFormat="1" applyFill="1" applyBorder="1"/>
    <xf numFmtId="37" fontId="0" fillId="3" borderId="19" xfId="0" applyNumberFormat="1" applyFill="1" applyBorder="1"/>
    <xf numFmtId="37" fontId="0" fillId="8" borderId="12" xfId="4" applyNumberFormat="1" applyFont="1" applyFill="1" applyBorder="1"/>
    <xf numFmtId="37" fontId="0" fillId="3" borderId="0" xfId="0" applyNumberFormat="1" applyFont="1" applyFill="1" applyBorder="1"/>
    <xf numFmtId="37" fontId="0" fillId="8" borderId="12" xfId="0" applyNumberFormat="1" applyFill="1" applyBorder="1"/>
    <xf numFmtId="0" fontId="6" fillId="14" borderId="0" xfId="0" applyFont="1" applyFill="1" applyBorder="1"/>
    <xf numFmtId="0" fontId="6" fillId="14" borderId="0" xfId="2" applyFont="1" applyFill="1" applyBorder="1"/>
    <xf numFmtId="167" fontId="6" fillId="14" borderId="0" xfId="2" applyNumberFormat="1" applyFont="1" applyFill="1" applyBorder="1"/>
    <xf numFmtId="164" fontId="6" fillId="14" borderId="0" xfId="1" applyNumberFormat="1" applyFont="1" applyFill="1" applyBorder="1" applyAlignment="1">
      <alignment horizontal="right"/>
    </xf>
    <xf numFmtId="37" fontId="0" fillId="3" borderId="12" xfId="4" applyNumberFormat="1" applyFont="1" applyFill="1" applyBorder="1"/>
    <xf numFmtId="37" fontId="0" fillId="3" borderId="12" xfId="0" applyNumberFormat="1" applyFill="1" applyBorder="1"/>
    <xf numFmtId="0" fontId="0" fillId="14" borderId="19" xfId="0" applyFill="1" applyBorder="1"/>
    <xf numFmtId="0" fontId="0" fillId="14" borderId="20" xfId="0" applyFill="1" applyBorder="1"/>
    <xf numFmtId="0" fontId="0" fillId="14" borderId="0" xfId="0" applyFill="1" applyBorder="1"/>
    <xf numFmtId="0" fontId="0" fillId="14" borderId="22" xfId="0" applyFill="1" applyBorder="1"/>
    <xf numFmtId="0" fontId="5" fillId="14" borderId="0" xfId="0" applyFont="1" applyFill="1" applyBorder="1"/>
    <xf numFmtId="0" fontId="13" fillId="14" borderId="0" xfId="0" applyFont="1" applyFill="1" applyBorder="1" applyAlignment="1">
      <alignment horizontal="center"/>
    </xf>
    <xf numFmtId="37" fontId="0" fillId="14" borderId="0" xfId="4" applyNumberFormat="1" applyFont="1" applyFill="1" applyBorder="1"/>
    <xf numFmtId="37" fontId="0" fillId="14" borderId="0" xfId="0" applyNumberFormat="1" applyFill="1" applyBorder="1"/>
    <xf numFmtId="37" fontId="0" fillId="14" borderId="0" xfId="0" applyNumberFormat="1" applyFont="1" applyFill="1" applyBorder="1"/>
    <xf numFmtId="9" fontId="0" fillId="14" borderId="0" xfId="4" applyFont="1" applyFill="1" applyBorder="1"/>
    <xf numFmtId="1" fontId="0" fillId="14" borderId="0" xfId="0" applyNumberFormat="1" applyFill="1" applyBorder="1"/>
    <xf numFmtId="37" fontId="0" fillId="14" borderId="0" xfId="0" applyNumberFormat="1" applyFill="1" applyBorder="1" applyProtection="1">
      <protection locked="0"/>
    </xf>
    <xf numFmtId="0" fontId="0" fillId="14" borderId="10" xfId="0" applyFill="1" applyBorder="1"/>
    <xf numFmtId="37" fontId="0" fillId="14" borderId="10" xfId="0" applyNumberFormat="1" applyFill="1" applyBorder="1"/>
    <xf numFmtId="37" fontId="0" fillId="14" borderId="10" xfId="0" applyNumberFormat="1" applyFill="1" applyBorder="1" applyProtection="1">
      <protection locked="0"/>
    </xf>
    <xf numFmtId="0" fontId="0" fillId="14" borderId="3" xfId="0" applyFill="1" applyBorder="1"/>
    <xf numFmtId="37" fontId="0" fillId="14" borderId="3" xfId="0" applyNumberFormat="1" applyFill="1" applyBorder="1"/>
    <xf numFmtId="0" fontId="0" fillId="14" borderId="3" xfId="0" applyNumberFormat="1" applyFill="1" applyBorder="1"/>
    <xf numFmtId="0" fontId="0" fillId="14" borderId="24" xfId="0" applyFill="1" applyBorder="1"/>
    <xf numFmtId="0" fontId="0" fillId="14" borderId="18" xfId="0" applyFill="1" applyBorder="1"/>
    <xf numFmtId="0" fontId="6" fillId="14" borderId="19" xfId="0" applyFont="1" applyFill="1" applyBorder="1"/>
    <xf numFmtId="0" fontId="6" fillId="14" borderId="19" xfId="0" applyFont="1" applyFill="1" applyBorder="1" applyAlignment="1">
      <alignment horizontal="left"/>
    </xf>
    <xf numFmtId="0" fontId="5" fillId="14" borderId="21" xfId="0" applyFont="1" applyFill="1" applyBorder="1"/>
    <xf numFmtId="0" fontId="0" fillId="14" borderId="21" xfId="0" applyFill="1" applyBorder="1"/>
    <xf numFmtId="0" fontId="0" fillId="14" borderId="25" xfId="0" applyFill="1" applyBorder="1"/>
    <xf numFmtId="0" fontId="0" fillId="14" borderId="23" xfId="0" applyFill="1" applyBorder="1"/>
    <xf numFmtId="0" fontId="5" fillId="3" borderId="21" xfId="0" applyFont="1" applyFill="1" applyBorder="1"/>
    <xf numFmtId="0" fontId="0" fillId="14" borderId="20" xfId="0" applyFill="1" applyBorder="1" applyAlignment="1">
      <alignment horizontal="left"/>
    </xf>
    <xf numFmtId="0" fontId="0" fillId="14" borderId="22" xfId="0" applyFill="1" applyBorder="1" applyAlignment="1">
      <alignment horizontal="left"/>
    </xf>
    <xf numFmtId="0" fontId="6" fillId="14" borderId="22" xfId="0" applyFont="1" applyFill="1" applyBorder="1" applyAlignment="1">
      <alignment horizontal="left"/>
    </xf>
    <xf numFmtId="0" fontId="6" fillId="14" borderId="22" xfId="2" applyFont="1" applyFill="1" applyBorder="1" applyAlignment="1">
      <alignment horizontal="left"/>
    </xf>
    <xf numFmtId="0" fontId="0" fillId="14" borderId="0" xfId="0" applyFont="1" applyFill="1" applyBorder="1"/>
    <xf numFmtId="0" fontId="0" fillId="14" borderId="21" xfId="0" applyFont="1" applyFill="1" applyBorder="1"/>
    <xf numFmtId="167" fontId="6" fillId="14" borderId="22" xfId="2" applyNumberFormat="1" applyFont="1" applyFill="1" applyBorder="1" applyAlignment="1">
      <alignment horizontal="left"/>
    </xf>
    <xf numFmtId="164" fontId="0" fillId="14" borderId="0" xfId="0" applyNumberFormat="1" applyFill="1" applyBorder="1"/>
    <xf numFmtId="164" fontId="6" fillId="14" borderId="22" xfId="1" applyNumberFormat="1" applyFont="1" applyFill="1" applyBorder="1" applyAlignment="1">
      <alignment horizontal="left"/>
    </xf>
    <xf numFmtId="164" fontId="5" fillId="14" borderId="0" xfId="0" applyNumberFormat="1" applyFont="1" applyFill="1" applyBorder="1"/>
    <xf numFmtId="164" fontId="0" fillId="14" borderId="0" xfId="0" applyNumberFormat="1" applyFont="1" applyFill="1" applyBorder="1"/>
    <xf numFmtId="0" fontId="0" fillId="14" borderId="23" xfId="0" applyFont="1" applyFill="1" applyBorder="1"/>
    <xf numFmtId="0" fontId="0" fillId="14" borderId="3" xfId="0" applyFont="1" applyFill="1" applyBorder="1"/>
    <xf numFmtId="1" fontId="6" fillId="14" borderId="3" xfId="2" applyNumberFormat="1" applyFont="1" applyFill="1" applyBorder="1"/>
    <xf numFmtId="1" fontId="6" fillId="14" borderId="24" xfId="2" applyNumberFormat="1" applyFont="1" applyFill="1" applyBorder="1" applyAlignment="1">
      <alignment horizontal="left"/>
    </xf>
    <xf numFmtId="0" fontId="6" fillId="3" borderId="12" xfId="2" applyFont="1" applyFill="1" applyBorder="1"/>
    <xf numFmtId="0" fontId="6" fillId="3" borderId="12" xfId="0" applyFont="1" applyFill="1" applyBorder="1"/>
    <xf numFmtId="9" fontId="40" fillId="14" borderId="0" xfId="0" applyNumberFormat="1" applyFont="1" applyFill="1" applyBorder="1"/>
    <xf numFmtId="164" fontId="0" fillId="3" borderId="0" xfId="0" applyNumberFormat="1" applyFill="1" applyAlignment="1">
      <alignment horizontal="left"/>
    </xf>
    <xf numFmtId="0" fontId="0" fillId="3" borderId="19" xfId="0" applyFill="1" applyBorder="1" applyAlignment="1">
      <alignment horizontal="left"/>
    </xf>
    <xf numFmtId="37" fontId="0" fillId="3" borderId="0" xfId="0" applyNumberFormat="1" applyFill="1" applyBorder="1" applyAlignment="1">
      <alignment horizontal="left"/>
    </xf>
    <xf numFmtId="37" fontId="0" fillId="3" borderId="10" xfId="0" applyNumberFormat="1" applyFill="1" applyBorder="1" applyAlignment="1">
      <alignment horizontal="left"/>
    </xf>
    <xf numFmtId="37" fontId="0" fillId="3" borderId="3" xfId="0" applyNumberFormat="1" applyFill="1" applyBorder="1" applyAlignment="1">
      <alignment horizontal="left"/>
    </xf>
    <xf numFmtId="37" fontId="0" fillId="3" borderId="0" xfId="0" applyNumberFormat="1" applyFill="1" applyAlignment="1">
      <alignment horizontal="left"/>
    </xf>
    <xf numFmtId="37" fontId="0" fillId="3" borderId="19" xfId="0" applyNumberFormat="1" applyFill="1" applyBorder="1" applyAlignment="1">
      <alignment horizontal="left"/>
    </xf>
    <xf numFmtId="0" fontId="0" fillId="3" borderId="10" xfId="0" applyFill="1" applyBorder="1" applyAlignment="1">
      <alignment horizontal="left"/>
    </xf>
    <xf numFmtId="0" fontId="0" fillId="3" borderId="3" xfId="0" applyFill="1" applyBorder="1" applyAlignment="1">
      <alignment horizontal="left"/>
    </xf>
    <xf numFmtId="2" fontId="2" fillId="3" borderId="0" xfId="11" applyNumberFormat="1" applyFont="1" applyFill="1" applyBorder="1" applyAlignment="1">
      <alignment horizontal="left"/>
    </xf>
    <xf numFmtId="0" fontId="0" fillId="8" borderId="14" xfId="0" applyFill="1" applyBorder="1"/>
    <xf numFmtId="0" fontId="34" fillId="3" borderId="31" xfId="0" applyFont="1" applyFill="1" applyBorder="1"/>
    <xf numFmtId="0" fontId="6" fillId="15" borderId="20" xfId="0" applyFont="1" applyFill="1" applyBorder="1"/>
    <xf numFmtId="0" fontId="6" fillId="15" borderId="14" xfId="0" applyFont="1" applyFill="1" applyBorder="1"/>
    <xf numFmtId="0" fontId="11" fillId="3" borderId="0" xfId="0" applyFont="1" applyFill="1"/>
    <xf numFmtId="0" fontId="11" fillId="3" borderId="3" xfId="0" applyFont="1" applyFill="1" applyBorder="1"/>
    <xf numFmtId="0" fontId="11" fillId="3" borderId="32" xfId="0" applyFont="1" applyFill="1" applyBorder="1"/>
    <xf numFmtId="0" fontId="11" fillId="3" borderId="0" xfId="0" applyFont="1" applyFill="1" applyBorder="1"/>
    <xf numFmtId="0" fontId="11" fillId="3" borderId="31" xfId="0" applyFont="1" applyFill="1" applyBorder="1"/>
    <xf numFmtId="164" fontId="6" fillId="15" borderId="26" xfId="9" applyNumberFormat="1" applyFont="1" applyFill="1" applyBorder="1"/>
    <xf numFmtId="0" fontId="41" fillId="15" borderId="26" xfId="3" applyFont="1" applyFill="1" applyBorder="1"/>
    <xf numFmtId="164" fontId="41" fillId="15" borderId="27" xfId="1" applyNumberFormat="1" applyFont="1" applyFill="1" applyBorder="1"/>
    <xf numFmtId="0" fontId="11" fillId="15" borderId="14" xfId="0" applyFont="1" applyFill="1" applyBorder="1"/>
    <xf numFmtId="0" fontId="41" fillId="15" borderId="2" xfId="3" applyFont="1" applyFill="1"/>
    <xf numFmtId="164" fontId="41" fillId="15" borderId="26" xfId="1" applyNumberFormat="1" applyFont="1" applyFill="1" applyBorder="1"/>
    <xf numFmtId="164" fontId="41" fillId="15" borderId="28" xfId="1" applyNumberFormat="1" applyFont="1" applyFill="1" applyBorder="1"/>
    <xf numFmtId="0" fontId="11" fillId="15" borderId="22" xfId="0" applyFont="1" applyFill="1" applyBorder="1"/>
    <xf numFmtId="0" fontId="11" fillId="15" borderId="20" xfId="0" applyFont="1" applyFill="1" applyBorder="1"/>
    <xf numFmtId="0" fontId="11" fillId="15" borderId="24" xfId="0" applyFont="1" applyFill="1" applyBorder="1"/>
    <xf numFmtId="0" fontId="11" fillId="3" borderId="15" xfId="0" applyFont="1" applyFill="1" applyBorder="1"/>
    <xf numFmtId="49" fontId="41" fillId="15" borderId="2" xfId="3" applyNumberFormat="1" applyFont="1" applyFill="1"/>
    <xf numFmtId="0" fontId="0" fillId="0" borderId="0" xfId="0" applyFont="1"/>
    <xf numFmtId="0" fontId="0" fillId="13" borderId="0" xfId="0" applyFont="1" applyFill="1"/>
    <xf numFmtId="9" fontId="0" fillId="13" borderId="0" xfId="0" applyNumberFormat="1" applyFont="1" applyFill="1"/>
    <xf numFmtId="2" fontId="0" fillId="0" borderId="0" xfId="0" applyNumberFormat="1" applyFont="1"/>
    <xf numFmtId="0" fontId="21" fillId="0" borderId="0" xfId="0" applyFont="1"/>
    <xf numFmtId="164" fontId="6" fillId="0" borderId="0" xfId="1" applyNumberFormat="1" applyFont="1" applyFill="1" applyBorder="1" applyAlignment="1">
      <alignment horizontal="right"/>
    </xf>
    <xf numFmtId="166" fontId="6" fillId="0" borderId="0" xfId="4" applyNumberFormat="1" applyFont="1" applyFill="1" applyBorder="1" applyAlignment="1">
      <alignment horizontal="right"/>
    </xf>
    <xf numFmtId="164" fontId="42" fillId="0" borderId="0" xfId="1" applyNumberFormat="1" applyFont="1" applyFill="1" applyBorder="1"/>
    <xf numFmtId="0" fontId="43" fillId="8" borderId="2" xfId="3" applyFont="1" applyFill="1"/>
    <xf numFmtId="164" fontId="43" fillId="8" borderId="26" xfId="3" applyNumberFormat="1" applyFont="1" applyFill="1" applyBorder="1"/>
    <xf numFmtId="0" fontId="13" fillId="8" borderId="14" xfId="0" applyFont="1" applyFill="1" applyBorder="1"/>
    <xf numFmtId="0" fontId="43" fillId="15" borderId="26" xfId="3" applyFont="1" applyFill="1" applyBorder="1"/>
    <xf numFmtId="164" fontId="43" fillId="15" borderId="29" xfId="1" applyNumberFormat="1" applyFont="1" applyFill="1" applyBorder="1"/>
    <xf numFmtId="0" fontId="13" fillId="15" borderId="14" xfId="0" applyFont="1" applyFill="1" applyBorder="1"/>
    <xf numFmtId="164" fontId="43" fillId="15" borderId="26" xfId="1" applyNumberFormat="1" applyFont="1" applyFill="1" applyBorder="1"/>
    <xf numFmtId="0" fontId="31" fillId="15" borderId="14" xfId="0" applyFont="1" applyFill="1" applyBorder="1"/>
    <xf numFmtId="0" fontId="43" fillId="15" borderId="2" xfId="3" applyFont="1" applyFill="1"/>
    <xf numFmtId="164" fontId="43" fillId="15" borderId="33" xfId="1" applyNumberFormat="1" applyFont="1" applyFill="1" applyBorder="1"/>
    <xf numFmtId="164" fontId="13" fillId="3" borderId="0" xfId="1" applyNumberFormat="1" applyFont="1" applyFill="1"/>
    <xf numFmtId="37" fontId="13" fillId="3" borderId="0" xfId="0" applyNumberFormat="1" applyFont="1" applyFill="1"/>
    <xf numFmtId="0" fontId="2" fillId="3" borderId="0" xfId="2" applyFont="1" applyFill="1" applyBorder="1"/>
    <xf numFmtId="0" fontId="6" fillId="8" borderId="14" xfId="6" applyFont="1" applyFill="1" applyBorder="1" applyAlignment="1">
      <alignment horizontal="left"/>
    </xf>
    <xf numFmtId="0" fontId="25" fillId="8" borderId="13" xfId="6" applyFill="1" applyBorder="1"/>
    <xf numFmtId="0" fontId="2" fillId="3" borderId="0" xfId="11" applyFont="1" applyFill="1" applyBorder="1" applyAlignment="1">
      <alignment horizontal="left"/>
    </xf>
    <xf numFmtId="2" fontId="2" fillId="3" borderId="0" xfId="2" applyNumberFormat="1" applyFont="1" applyFill="1" applyBorder="1"/>
    <xf numFmtId="0" fontId="6" fillId="8" borderId="13" xfId="6" applyFont="1" applyFill="1" applyBorder="1"/>
    <xf numFmtId="0" fontId="3" fillId="8" borderId="14" xfId="2" applyFont="1" applyFill="1" applyBorder="1" applyAlignment="1">
      <alignment horizontal="left"/>
    </xf>
    <xf numFmtId="166" fontId="6" fillId="3" borderId="0" xfId="4" applyNumberFormat="1" applyFont="1" applyFill="1" applyBorder="1" applyAlignment="1">
      <alignment horizontal="right"/>
    </xf>
    <xf numFmtId="9" fontId="6" fillId="3" borderId="0" xfId="2" applyNumberFormat="1" applyFont="1" applyFill="1" applyBorder="1"/>
    <xf numFmtId="0" fontId="6" fillId="3" borderId="0" xfId="2" applyFont="1" applyFill="1" applyBorder="1"/>
    <xf numFmtId="166" fontId="6" fillId="3" borderId="0" xfId="2" applyNumberFormat="1" applyFont="1" applyFill="1" applyBorder="1"/>
    <xf numFmtId="164" fontId="6" fillId="3" borderId="0" xfId="1" applyNumberFormat="1" applyFont="1" applyFill="1" applyBorder="1"/>
    <xf numFmtId="0" fontId="6" fillId="3" borderId="0" xfId="4" applyNumberFormat="1" applyFont="1" applyFill="1" applyBorder="1" applyAlignment="1">
      <alignment horizontal="right"/>
    </xf>
    <xf numFmtId="164" fontId="6" fillId="3" borderId="0" xfId="1" applyNumberFormat="1" applyFont="1" applyFill="1" applyBorder="1" applyAlignment="1">
      <alignment horizontal="left"/>
    </xf>
    <xf numFmtId="166" fontId="6" fillId="3" borderId="0" xfId="4" applyNumberFormat="1" applyFont="1" applyFill="1" applyBorder="1" applyAlignment="1">
      <alignment horizontal="left"/>
    </xf>
    <xf numFmtId="0" fontId="1" fillId="3" borderId="0" xfId="2" applyFont="1" applyFill="1" applyBorder="1" applyAlignment="1">
      <alignment horizontal="right"/>
    </xf>
    <xf numFmtId="164" fontId="6" fillId="3" borderId="0" xfId="7" applyNumberFormat="1" applyFont="1" applyFill="1" applyBorder="1"/>
    <xf numFmtId="0" fontId="6" fillId="3" borderId="0" xfId="6" applyFont="1" applyFill="1" applyBorder="1" applyAlignment="1">
      <alignment horizontal="right"/>
    </xf>
    <xf numFmtId="164" fontId="6" fillId="3" borderId="0" xfId="2" applyNumberFormat="1" applyFont="1" applyFill="1" applyBorder="1" applyAlignment="1">
      <alignment horizontal="right"/>
    </xf>
    <xf numFmtId="0" fontId="1" fillId="3" borderId="0" xfId="2" applyFont="1" applyFill="1" applyBorder="1" applyAlignment="1">
      <alignment horizontal="left"/>
    </xf>
    <xf numFmtId="166" fontId="6" fillId="3" borderId="0" xfId="2" applyNumberFormat="1" applyFont="1" applyFill="1" applyBorder="1" applyAlignment="1">
      <alignment horizontal="left"/>
    </xf>
    <xf numFmtId="9" fontId="6" fillId="3" borderId="0" xfId="2" applyNumberFormat="1" applyFont="1" applyFill="1" applyBorder="1" applyAlignment="1">
      <alignment horizontal="left"/>
    </xf>
    <xf numFmtId="168" fontId="0" fillId="3" borderId="0" xfId="0" applyNumberFormat="1" applyFont="1" applyFill="1"/>
    <xf numFmtId="0" fontId="43" fillId="4" borderId="2" xfId="3" applyFont="1"/>
    <xf numFmtId="164" fontId="11" fillId="3" borderId="0" xfId="1" applyNumberFormat="1" applyFont="1" applyFill="1"/>
    <xf numFmtId="164" fontId="41" fillId="4" borderId="26" xfId="1" applyNumberFormat="1" applyFont="1" applyFill="1" applyBorder="1"/>
    <xf numFmtId="164" fontId="43" fillId="4" borderId="26" xfId="1" applyNumberFormat="1" applyFont="1" applyFill="1" applyBorder="1"/>
    <xf numFmtId="164" fontId="6" fillId="0" borderId="26" xfId="9" applyNumberFormat="1" applyFont="1" applyFill="1" applyBorder="1"/>
    <xf numFmtId="164" fontId="43" fillId="4" borderId="26" xfId="3" applyNumberFormat="1" applyFont="1" applyBorder="1"/>
    <xf numFmtId="9" fontId="0" fillId="3" borderId="0" xfId="4" applyFont="1" applyFill="1"/>
    <xf numFmtId="0" fontId="34" fillId="3" borderId="0" xfId="0" applyFont="1" applyFill="1" applyBorder="1"/>
    <xf numFmtId="0" fontId="0" fillId="8" borderId="0" xfId="0" applyFont="1" applyFill="1"/>
    <xf numFmtId="0" fontId="18" fillId="8" borderId="0" xfId="0" applyFont="1" applyFill="1"/>
    <xf numFmtId="0" fontId="5" fillId="8" borderId="0" xfId="0" applyFont="1" applyFill="1"/>
    <xf numFmtId="0" fontId="6" fillId="8" borderId="0" xfId="0" applyFont="1" applyFill="1"/>
    <xf numFmtId="0" fontId="27" fillId="0" borderId="0" xfId="0" applyFont="1"/>
    <xf numFmtId="0" fontId="27" fillId="8" borderId="0" xfId="0" applyFont="1" applyFill="1"/>
    <xf numFmtId="0" fontId="13" fillId="8" borderId="0" xfId="0" applyFont="1" applyFill="1"/>
    <xf numFmtId="0" fontId="28" fillId="8" borderId="0" xfId="0" applyFont="1" applyFill="1"/>
    <xf numFmtId="1" fontId="27" fillId="8" borderId="0" xfId="0" applyNumberFormat="1" applyFont="1" applyFill="1"/>
    <xf numFmtId="0" fontId="46" fillId="8" borderId="0" xfId="0" applyFont="1" applyFill="1"/>
    <xf numFmtId="0" fontId="46" fillId="0" borderId="0" xfId="0" applyFont="1"/>
    <xf numFmtId="1" fontId="0" fillId="8" borderId="0" xfId="0" applyNumberFormat="1" applyFont="1" applyFill="1"/>
    <xf numFmtId="0" fontId="45" fillId="0" borderId="0" xfId="0" applyFont="1"/>
    <xf numFmtId="2" fontId="0" fillId="8" borderId="0" xfId="0" applyNumberFormat="1" applyFont="1" applyFill="1"/>
    <xf numFmtId="167" fontId="27" fillId="8" borderId="0" xfId="0" applyNumberFormat="1" applyFont="1" applyFill="1"/>
    <xf numFmtId="9" fontId="46" fillId="8" borderId="0" xfId="4" applyFont="1" applyFill="1"/>
    <xf numFmtId="0" fontId="42" fillId="8" borderId="0" xfId="0" applyFont="1" applyFill="1"/>
    <xf numFmtId="0" fontId="6" fillId="8" borderId="0" xfId="0" applyFont="1" applyFill="1" applyBorder="1"/>
    <xf numFmtId="0" fontId="42" fillId="8" borderId="0" xfId="0" applyFont="1" applyFill="1" applyBorder="1"/>
    <xf numFmtId="0" fontId="0" fillId="0" borderId="0" xfId="0" applyFont="1" applyFill="1"/>
    <xf numFmtId="37" fontId="0" fillId="8" borderId="0" xfId="0" applyNumberFormat="1" applyFont="1" applyFill="1"/>
    <xf numFmtId="0" fontId="0" fillId="0" borderId="0" xfId="0" applyFont="1" applyAlignment="1">
      <alignment horizontal="left"/>
    </xf>
    <xf numFmtId="0" fontId="0" fillId="0" borderId="0" xfId="0" applyFont="1" applyFill="1" applyAlignment="1">
      <alignment horizontal="left"/>
    </xf>
    <xf numFmtId="0" fontId="0" fillId="8" borderId="0" xfId="0" applyFont="1" applyFill="1" applyAlignment="1">
      <alignment horizontal="left"/>
    </xf>
    <xf numFmtId="9" fontId="0" fillId="8" borderId="0" xfId="4" applyFont="1" applyFill="1" applyAlignment="1">
      <alignment horizontal="left"/>
    </xf>
    <xf numFmtId="0" fontId="6" fillId="8" borderId="0" xfId="0" applyFont="1" applyFill="1" applyAlignment="1">
      <alignment horizontal="left"/>
    </xf>
    <xf numFmtId="164" fontId="6" fillId="8" borderId="0" xfId="1" applyNumberFormat="1" applyFont="1" applyFill="1" applyBorder="1" applyAlignment="1">
      <alignment horizontal="left"/>
    </xf>
    <xf numFmtId="166" fontId="6" fillId="8" borderId="0" xfId="4" applyNumberFormat="1" applyFont="1" applyFill="1" applyBorder="1" applyAlignment="1">
      <alignment horizontal="left"/>
    </xf>
    <xf numFmtId="164" fontId="42" fillId="8" borderId="0" xfId="1" applyNumberFormat="1" applyFont="1" applyFill="1" applyBorder="1" applyAlignment="1">
      <alignment horizontal="left"/>
    </xf>
    <xf numFmtId="1" fontId="0" fillId="8" borderId="0" xfId="0" applyNumberFormat="1" applyFont="1" applyFill="1" applyAlignment="1">
      <alignment horizontal="left"/>
    </xf>
    <xf numFmtId="0" fontId="44" fillId="0" borderId="0" xfId="0" applyFont="1" applyAlignment="1">
      <alignment horizontal="left"/>
    </xf>
    <xf numFmtId="0" fontId="48" fillId="0" borderId="0" xfId="0" applyFont="1"/>
    <xf numFmtId="0" fontId="46" fillId="0" borderId="12" xfId="0" applyFont="1" applyBorder="1"/>
    <xf numFmtId="0" fontId="46" fillId="0" borderId="12" xfId="0" applyFont="1" applyFill="1" applyBorder="1"/>
    <xf numFmtId="0" fontId="46" fillId="0" borderId="14" xfId="0" applyFont="1" applyBorder="1"/>
    <xf numFmtId="0" fontId="46" fillId="0" borderId="12" xfId="0" applyFont="1" applyBorder="1" applyAlignment="1">
      <alignment horizontal="center" vertical="center"/>
    </xf>
    <xf numFmtId="0" fontId="0" fillId="0" borderId="5" xfId="0" applyBorder="1"/>
    <xf numFmtId="0" fontId="0" fillId="0" borderId="6" xfId="0" applyBorder="1"/>
    <xf numFmtId="0" fontId="0" fillId="6" borderId="7" xfId="0" applyFill="1" applyBorder="1"/>
    <xf numFmtId="0" fontId="0" fillId="6" borderId="0" xfId="0" applyFill="1" applyBorder="1"/>
    <xf numFmtId="164" fontId="0" fillId="6" borderId="0" xfId="1" applyNumberFormat="1" applyFont="1" applyFill="1" applyBorder="1"/>
    <xf numFmtId="9" fontId="0" fillId="6" borderId="0" xfId="0" applyNumberFormat="1" applyFill="1" applyBorder="1"/>
    <xf numFmtId="2" fontId="6" fillId="6" borderId="0" xfId="0" applyNumberFormat="1" applyFont="1" applyFill="1" applyBorder="1"/>
    <xf numFmtId="0" fontId="0" fillId="6" borderId="8" xfId="0" applyFill="1" applyBorder="1"/>
    <xf numFmtId="0" fontId="6" fillId="6" borderId="0" xfId="0" applyFont="1" applyFill="1" applyBorder="1"/>
    <xf numFmtId="0" fontId="0" fillId="6" borderId="9" xfId="0" applyFill="1" applyBorder="1"/>
    <xf numFmtId="0" fontId="0" fillId="6" borderId="10" xfId="0" applyFill="1" applyBorder="1"/>
    <xf numFmtId="0" fontId="0" fillId="0" borderId="10" xfId="0" applyBorder="1"/>
    <xf numFmtId="0" fontId="0" fillId="0" borderId="11" xfId="0" applyBorder="1"/>
    <xf numFmtId="0" fontId="1" fillId="3" borderId="0" xfId="11" applyFont="1" applyFill="1" applyBorder="1" applyAlignment="1">
      <alignment horizontal="left"/>
    </xf>
    <xf numFmtId="0" fontId="1" fillId="8" borderId="12" xfId="2" applyFont="1" applyFill="1" applyBorder="1"/>
    <xf numFmtId="0" fontId="18" fillId="3" borderId="0" xfId="0" applyFont="1" applyFill="1"/>
    <xf numFmtId="0" fontId="1" fillId="3" borderId="0" xfId="2" applyFont="1" applyFill="1" applyBorder="1"/>
    <xf numFmtId="164" fontId="6" fillId="3" borderId="0" xfId="5" applyNumberFormat="1" applyFont="1" applyFill="1" applyBorder="1" applyAlignment="1">
      <alignment horizontal="left"/>
    </xf>
    <xf numFmtId="164" fontId="6" fillId="3" borderId="0" xfId="2" applyNumberFormat="1" applyFont="1" applyFill="1" applyBorder="1" applyAlignment="1">
      <alignment horizontal="left"/>
    </xf>
    <xf numFmtId="9" fontId="6" fillId="3" borderId="0" xfId="4" applyFont="1" applyFill="1" applyBorder="1" applyAlignment="1">
      <alignment horizontal="left"/>
    </xf>
    <xf numFmtId="37" fontId="3" fillId="8" borderId="12" xfId="2" applyNumberFormat="1" applyFont="1" applyFill="1" applyBorder="1" applyAlignment="1">
      <alignment horizontal="right"/>
    </xf>
    <xf numFmtId="0" fontId="3" fillId="8" borderId="12" xfId="2" applyFont="1" applyFill="1" applyBorder="1" applyAlignment="1">
      <alignment horizontal="right"/>
    </xf>
    <xf numFmtId="0" fontId="13" fillId="3" borderId="0" xfId="0" applyFont="1" applyFill="1" applyBorder="1" applyAlignment="1">
      <alignment horizontal="center"/>
    </xf>
    <xf numFmtId="9" fontId="0" fillId="3" borderId="0" xfId="4" applyFont="1" applyFill="1" applyAlignment="1">
      <alignment horizontal="left"/>
    </xf>
    <xf numFmtId="164" fontId="31" fillId="3" borderId="0" xfId="0" applyNumberFormat="1" applyFont="1" applyFill="1" applyBorder="1"/>
    <xf numFmtId="0" fontId="13" fillId="3" borderId="0" xfId="0" applyFont="1" applyFill="1" applyBorder="1" applyAlignment="1">
      <alignment horizontal="left"/>
    </xf>
    <xf numFmtId="0" fontId="3" fillId="8" borderId="12" xfId="2" applyNumberFormat="1" applyFont="1" applyFill="1" applyBorder="1" applyAlignment="1">
      <alignment horizontal="right"/>
    </xf>
    <xf numFmtId="9" fontId="1" fillId="3" borderId="0" xfId="2" applyNumberFormat="1" applyFont="1" applyFill="1" applyBorder="1" applyAlignment="1">
      <alignment horizontal="left"/>
    </xf>
    <xf numFmtId="0" fontId="0" fillId="3" borderId="0" xfId="0" applyFont="1" applyFill="1" applyBorder="1"/>
    <xf numFmtId="0" fontId="49" fillId="4" borderId="2" xfId="3" applyFont="1"/>
    <xf numFmtId="37" fontId="0" fillId="3" borderId="0" xfId="0" applyNumberFormat="1" applyFont="1" applyFill="1"/>
    <xf numFmtId="1" fontId="0" fillId="3" borderId="0" xfId="0" applyNumberFormat="1" applyFont="1" applyFill="1"/>
    <xf numFmtId="0" fontId="49" fillId="15" borderId="26" xfId="3" applyFont="1" applyFill="1" applyBorder="1"/>
    <xf numFmtId="0" fontId="49" fillId="15" borderId="2" xfId="3" applyFont="1" applyFill="1"/>
    <xf numFmtId="0" fontId="49" fillId="15" borderId="35" xfId="3" applyFont="1" applyFill="1" applyBorder="1"/>
    <xf numFmtId="164" fontId="6" fillId="15" borderId="26" xfId="12" applyNumberFormat="1" applyFont="1" applyFill="1" applyBorder="1"/>
    <xf numFmtId="164" fontId="43" fillId="15" borderId="26" xfId="3" applyNumberFormat="1" applyFont="1" applyFill="1" applyBorder="1"/>
    <xf numFmtId="37" fontId="0" fillId="0" borderId="0" xfId="0" applyNumberFormat="1" applyFont="1"/>
    <xf numFmtId="37" fontId="6" fillId="3" borderId="0" xfId="4" applyNumberFormat="1" applyFont="1" applyFill="1" applyBorder="1" applyAlignment="1">
      <alignment horizontal="right"/>
    </xf>
    <xf numFmtId="0" fontId="0" fillId="3" borderId="0" xfId="0" applyFont="1" applyFill="1" applyAlignment="1">
      <alignment horizontal="left"/>
    </xf>
    <xf numFmtId="0" fontId="0" fillId="3" borderId="0" xfId="0" applyFont="1" applyFill="1" applyAlignment="1">
      <alignment horizontal="right"/>
    </xf>
    <xf numFmtId="166" fontId="50" fillId="3" borderId="0" xfId="4" applyNumberFormat="1" applyFont="1" applyFill="1" applyBorder="1" applyAlignment="1">
      <alignment horizontal="right"/>
    </xf>
    <xf numFmtId="166" fontId="50" fillId="3" borderId="0" xfId="4" applyNumberFormat="1" applyFont="1" applyFill="1" applyBorder="1" applyAlignment="1">
      <alignment horizontal="left"/>
    </xf>
    <xf numFmtId="167" fontId="2" fillId="3" borderId="0" xfId="2" applyNumberFormat="1" applyFont="1" applyFill="1" applyBorder="1"/>
    <xf numFmtId="1" fontId="6" fillId="8" borderId="0" xfId="0" applyNumberFormat="1" applyFont="1" applyFill="1"/>
    <xf numFmtId="0" fontId="46" fillId="0" borderId="0" xfId="0" applyFont="1" applyFill="1"/>
    <xf numFmtId="164" fontId="46" fillId="8" borderId="0" xfId="1" applyNumberFormat="1" applyFont="1" applyFill="1" applyBorder="1" applyAlignment="1">
      <alignment horizontal="right"/>
    </xf>
    <xf numFmtId="164" fontId="46" fillId="8" borderId="3" xfId="1" applyNumberFormat="1" applyFont="1" applyFill="1" applyBorder="1" applyAlignment="1">
      <alignment horizontal="right"/>
    </xf>
    <xf numFmtId="164" fontId="46" fillId="8" borderId="34" xfId="1" applyNumberFormat="1" applyFont="1" applyFill="1" applyBorder="1" applyAlignment="1">
      <alignment horizontal="right"/>
    </xf>
    <xf numFmtId="9" fontId="46" fillId="8" borderId="0" xfId="4" applyNumberFormat="1" applyFont="1" applyFill="1" applyBorder="1" applyAlignment="1">
      <alignment horizontal="right"/>
    </xf>
    <xf numFmtId="37" fontId="46" fillId="8" borderId="0" xfId="4" applyNumberFormat="1" applyFont="1" applyFill="1" applyBorder="1" applyAlignment="1">
      <alignment horizontal="right"/>
    </xf>
    <xf numFmtId="164" fontId="51" fillId="8" borderId="0" xfId="1" applyNumberFormat="1" applyFont="1" applyFill="1" applyBorder="1"/>
    <xf numFmtId="37" fontId="46" fillId="8" borderId="34" xfId="0" applyNumberFormat="1" applyFont="1" applyFill="1" applyBorder="1"/>
    <xf numFmtId="37" fontId="46" fillId="8" borderId="0" xfId="0" applyNumberFormat="1" applyFont="1" applyFill="1"/>
    <xf numFmtId="37" fontId="46" fillId="0" borderId="0" xfId="0" applyNumberFormat="1" applyFont="1"/>
    <xf numFmtId="37" fontId="0" fillId="0" borderId="0" xfId="0" applyNumberFormat="1" applyFont="1" applyFill="1"/>
    <xf numFmtId="37" fontId="6" fillId="8" borderId="0" xfId="0" applyNumberFormat="1" applyFont="1" applyFill="1"/>
    <xf numFmtId="37" fontId="6" fillId="8" borderId="0" xfId="0" applyNumberFormat="1" applyFont="1" applyFill="1" applyBorder="1"/>
    <xf numFmtId="37" fontId="6" fillId="8" borderId="3" xfId="1" applyNumberFormat="1" applyFont="1" applyFill="1" applyBorder="1" applyAlignment="1">
      <alignment horizontal="right"/>
    </xf>
    <xf numFmtId="37" fontId="6" fillId="8" borderId="34" xfId="1" applyNumberFormat="1" applyFont="1" applyFill="1" applyBorder="1" applyAlignment="1">
      <alignment horizontal="right"/>
    </xf>
    <xf numFmtId="37" fontId="6" fillId="8" borderId="0" xfId="1" applyNumberFormat="1" applyFont="1" applyFill="1" applyBorder="1" applyAlignment="1">
      <alignment horizontal="right"/>
    </xf>
    <xf numFmtId="9" fontId="11" fillId="8" borderId="0" xfId="4" applyFont="1" applyFill="1"/>
    <xf numFmtId="9" fontId="6" fillId="8" borderId="0" xfId="4" applyFont="1" applyFill="1" applyBorder="1"/>
    <xf numFmtId="0" fontId="52" fillId="8" borderId="0" xfId="0" applyFont="1" applyFill="1"/>
    <xf numFmtId="167" fontId="6" fillId="8" borderId="0" xfId="0" applyNumberFormat="1" applyFont="1" applyFill="1"/>
    <xf numFmtId="167" fontId="6" fillId="0" borderId="0" xfId="0" applyNumberFormat="1" applyFont="1"/>
    <xf numFmtId="0" fontId="53" fillId="0" borderId="0" xfId="0" applyFont="1"/>
    <xf numFmtId="2" fontId="27" fillId="0" borderId="0" xfId="0" applyNumberFormat="1" applyFont="1"/>
    <xf numFmtId="0" fontId="27" fillId="13" borderId="0" xfId="0" applyFont="1" applyFill="1"/>
    <xf numFmtId="9" fontId="27" fillId="13" borderId="0" xfId="0" applyNumberFormat="1" applyFont="1" applyFill="1"/>
    <xf numFmtId="1" fontId="27" fillId="0" borderId="0" xfId="0" applyNumberFormat="1" applyFont="1"/>
    <xf numFmtId="9" fontId="0" fillId="13" borderId="0" xfId="4" applyFont="1" applyFill="1"/>
    <xf numFmtId="0" fontId="0" fillId="0" borderId="12" xfId="0" applyFill="1" applyBorder="1"/>
    <xf numFmtId="1" fontId="6" fillId="3" borderId="0" xfId="7" applyNumberFormat="1" applyFont="1" applyFill="1"/>
    <xf numFmtId="164" fontId="6" fillId="3" borderId="12" xfId="1" applyNumberFormat="1" applyFont="1" applyFill="1" applyBorder="1" applyAlignment="1">
      <alignment horizontal="right"/>
    </xf>
    <xf numFmtId="1" fontId="0" fillId="6" borderId="0" xfId="0" applyNumberFormat="1" applyFill="1" applyBorder="1"/>
    <xf numFmtId="1" fontId="0" fillId="6" borderId="10" xfId="0" applyNumberFormat="1" applyFill="1" applyBorder="1"/>
    <xf numFmtId="0" fontId="0" fillId="8" borderId="0" xfId="0" applyFill="1"/>
    <xf numFmtId="0" fontId="35" fillId="8" borderId="0" xfId="0" applyFont="1" applyFill="1"/>
    <xf numFmtId="9" fontId="0" fillId="8" borderId="0" xfId="0" applyNumberFormat="1" applyFill="1" applyAlignment="1">
      <alignment horizontal="left"/>
    </xf>
    <xf numFmtId="0" fontId="54" fillId="8" borderId="0" xfId="0" applyFont="1" applyFill="1"/>
    <xf numFmtId="14" fontId="0" fillId="8" borderId="0" xfId="0" applyNumberFormat="1" applyFill="1"/>
    <xf numFmtId="1" fontId="0" fillId="8" borderId="0" xfId="0" applyNumberFormat="1" applyFill="1" applyAlignment="1">
      <alignment horizontal="left"/>
    </xf>
    <xf numFmtId="0" fontId="0" fillId="0" borderId="0" xfId="0" applyFont="1" applyBorder="1"/>
    <xf numFmtId="0" fontId="21" fillId="5" borderId="0" xfId="0" applyFont="1" applyFill="1" applyBorder="1"/>
    <xf numFmtId="0" fontId="0" fillId="8" borderId="0" xfId="0" applyFill="1" applyBorder="1"/>
    <xf numFmtId="0" fontId="0" fillId="17" borderId="0" xfId="0" applyFill="1" applyBorder="1"/>
    <xf numFmtId="0" fontId="0" fillId="17" borderId="0" xfId="0" applyFont="1" applyFill="1" applyBorder="1"/>
    <xf numFmtId="0" fontId="13" fillId="17" borderId="0" xfId="0" applyFont="1" applyFill="1" applyBorder="1"/>
    <xf numFmtId="0" fontId="21" fillId="17" borderId="0" xfId="0" applyFont="1" applyFill="1" applyBorder="1"/>
    <xf numFmtId="0" fontId="14" fillId="0" borderId="0" xfId="0" applyFont="1" applyBorder="1" applyAlignment="1">
      <alignment horizontal="center"/>
    </xf>
    <xf numFmtId="0" fontId="0" fillId="0" borderId="36" xfId="0" applyBorder="1"/>
    <xf numFmtId="1" fontId="0" fillId="17" borderId="0" xfId="0" applyNumberFormat="1" applyFill="1" applyBorder="1"/>
    <xf numFmtId="1" fontId="1" fillId="3" borderId="0" xfId="2" applyNumberFormat="1" applyFont="1" applyFill="1" applyBorder="1"/>
    <xf numFmtId="167" fontId="6" fillId="3" borderId="0" xfId="6" applyNumberFormat="1" applyFont="1" applyFill="1" applyBorder="1" applyAlignment="1">
      <alignment horizontal="right"/>
    </xf>
    <xf numFmtId="170" fontId="0" fillId="3" borderId="0" xfId="0" applyNumberFormat="1" applyFill="1"/>
    <xf numFmtId="0" fontId="6" fillId="8" borderId="13" xfId="0" applyFont="1" applyFill="1" applyBorder="1"/>
    <xf numFmtId="0" fontId="0" fillId="8" borderId="14" xfId="0" applyFill="1" applyBorder="1" applyAlignment="1">
      <alignment horizontal="left"/>
    </xf>
    <xf numFmtId="44" fontId="0" fillId="8" borderId="0" xfId="0" applyNumberFormat="1" applyFill="1"/>
    <xf numFmtId="169" fontId="0" fillId="8" borderId="0" xfId="0" applyNumberFormat="1" applyFill="1" applyAlignment="1">
      <alignment horizontal="right"/>
    </xf>
    <xf numFmtId="169" fontId="0" fillId="8" borderId="34" xfId="0" applyNumberFormat="1" applyFill="1" applyBorder="1" applyAlignment="1">
      <alignment horizontal="right"/>
    </xf>
    <xf numFmtId="171" fontId="0" fillId="8" borderId="0" xfId="0" applyNumberFormat="1" applyFill="1" applyAlignment="1">
      <alignment horizontal="left"/>
    </xf>
    <xf numFmtId="1" fontId="6" fillId="8" borderId="12" xfId="0" applyNumberFormat="1" applyFont="1" applyFill="1" applyBorder="1"/>
    <xf numFmtId="0" fontId="25" fillId="10" borderId="16" xfId="6"/>
    <xf numFmtId="9" fontId="27" fillId="8" borderId="0" xfId="4" applyFont="1" applyFill="1"/>
    <xf numFmtId="9" fontId="6" fillId="8" borderId="0" xfId="4" applyFont="1" applyFill="1"/>
    <xf numFmtId="0" fontId="6" fillId="8" borderId="0" xfId="4" applyNumberFormat="1" applyFont="1" applyFill="1"/>
    <xf numFmtId="0" fontId="0" fillId="8" borderId="0" xfId="0" applyFill="1" applyAlignment="1">
      <alignment horizontal="left"/>
    </xf>
    <xf numFmtId="0" fontId="54" fillId="3" borderId="0" xfId="0" applyFont="1" applyFill="1"/>
    <xf numFmtId="0" fontId="34" fillId="0" borderId="0" xfId="0" applyFont="1"/>
    <xf numFmtId="0" fontId="14" fillId="0" borderId="0" xfId="0" applyFont="1"/>
    <xf numFmtId="0" fontId="34" fillId="18" borderId="0" xfId="0" applyFont="1" applyFill="1"/>
    <xf numFmtId="0" fontId="0" fillId="18" borderId="0" xfId="0" applyFill="1"/>
    <xf numFmtId="0" fontId="0" fillId="18" borderId="0" xfId="0" applyFont="1" applyFill="1"/>
    <xf numFmtId="37" fontId="0" fillId="18" borderId="0" xfId="0" applyNumberFormat="1" applyFill="1"/>
    <xf numFmtId="39" fontId="0" fillId="18" borderId="0" xfId="0" applyNumberFormat="1" applyFill="1"/>
    <xf numFmtId="2" fontId="0" fillId="0" borderId="0" xfId="0" applyNumberFormat="1"/>
    <xf numFmtId="0" fontId="13" fillId="0" borderId="0" xfId="0" applyFont="1"/>
    <xf numFmtId="1" fontId="13" fillId="0" borderId="0" xfId="0" applyNumberFormat="1" applyFont="1"/>
    <xf numFmtId="0" fontId="55" fillId="8" borderId="0" xfId="0" applyFont="1" applyFill="1" applyBorder="1"/>
    <xf numFmtId="0" fontId="56" fillId="8" borderId="0" xfId="0" applyFont="1" applyFill="1" applyBorder="1"/>
    <xf numFmtId="14" fontId="6" fillId="8" borderId="0" xfId="0" applyNumberFormat="1" applyFont="1" applyFill="1" applyBorder="1" applyAlignment="1">
      <alignment horizontal="right"/>
    </xf>
    <xf numFmtId="0" fontId="31" fillId="8" borderId="0" xfId="0" applyFont="1" applyFill="1"/>
    <xf numFmtId="9" fontId="6" fillId="8" borderId="0" xfId="0" applyNumberFormat="1" applyFont="1" applyFill="1" applyAlignment="1">
      <alignment horizontal="left"/>
    </xf>
    <xf numFmtId="0" fontId="57" fillId="8" borderId="0" xfId="0" applyFont="1" applyFill="1"/>
    <xf numFmtId="171" fontId="6" fillId="8" borderId="0" xfId="0" applyNumberFormat="1" applyFont="1" applyFill="1" applyAlignment="1">
      <alignment horizontal="left"/>
    </xf>
    <xf numFmtId="169" fontId="6" fillId="8" borderId="0" xfId="10" applyNumberFormat="1" applyFont="1" applyFill="1" applyAlignment="1">
      <alignment horizontal="right"/>
    </xf>
    <xf numFmtId="0" fontId="31" fillId="8" borderId="0" xfId="0" applyFont="1" applyFill="1" applyBorder="1"/>
    <xf numFmtId="9" fontId="6" fillId="8" borderId="0" xfId="0" applyNumberFormat="1" applyFont="1" applyFill="1" applyBorder="1" applyAlignment="1">
      <alignment horizontal="left"/>
    </xf>
    <xf numFmtId="0" fontId="6" fillId="8" borderId="0" xfId="0" applyFont="1" applyFill="1" applyBorder="1" applyAlignment="1">
      <alignment horizontal="left"/>
    </xf>
    <xf numFmtId="171" fontId="6" fillId="8" borderId="0" xfId="0" applyNumberFormat="1" applyFont="1" applyFill="1" applyBorder="1" applyAlignment="1">
      <alignment horizontal="left"/>
    </xf>
    <xf numFmtId="169" fontId="6" fillId="8" borderId="0" xfId="0" applyNumberFormat="1" applyFont="1" applyFill="1" applyBorder="1" applyAlignment="1">
      <alignment horizontal="right"/>
    </xf>
    <xf numFmtId="169" fontId="6" fillId="8" borderId="34" xfId="0" applyNumberFormat="1" applyFont="1" applyFill="1" applyBorder="1" applyAlignment="1">
      <alignment horizontal="right"/>
    </xf>
    <xf numFmtId="0" fontId="0" fillId="8" borderId="0" xfId="4" applyNumberFormat="1" applyFont="1" applyFill="1" applyAlignment="1">
      <alignment horizontal="left"/>
    </xf>
    <xf numFmtId="37" fontId="6" fillId="3" borderId="0" xfId="11" applyNumberFormat="1" applyFont="1" applyFill="1" applyBorder="1" applyAlignment="1">
      <alignment horizontal="left"/>
    </xf>
    <xf numFmtId="0" fontId="6" fillId="8" borderId="13" xfId="2" applyFont="1" applyFill="1" applyBorder="1"/>
    <xf numFmtId="37" fontId="6" fillId="8" borderId="14" xfId="2" applyNumberFormat="1" applyFont="1" applyFill="1" applyBorder="1" applyAlignment="1">
      <alignment horizontal="left"/>
    </xf>
    <xf numFmtId="9" fontId="6" fillId="8" borderId="13" xfId="2" applyNumberFormat="1" applyFont="1" applyFill="1" applyBorder="1"/>
    <xf numFmtId="9" fontId="6" fillId="8" borderId="14" xfId="2" applyNumberFormat="1" applyFont="1" applyFill="1" applyBorder="1" applyAlignment="1">
      <alignment horizontal="left"/>
    </xf>
    <xf numFmtId="0" fontId="6" fillId="3" borderId="0" xfId="11" applyFont="1" applyFill="1" applyBorder="1"/>
    <xf numFmtId="0" fontId="6" fillId="3" borderId="0" xfId="11" applyFont="1" applyFill="1" applyBorder="1" applyAlignment="1">
      <alignment horizontal="left"/>
    </xf>
    <xf numFmtId="1" fontId="6" fillId="3" borderId="0" xfId="11" applyNumberFormat="1" applyFont="1" applyFill="1" applyBorder="1"/>
    <xf numFmtId="169" fontId="6" fillId="8" borderId="34" xfId="10" applyNumberFormat="1" applyFont="1" applyFill="1" applyBorder="1" applyAlignment="1">
      <alignment horizontal="right"/>
    </xf>
    <xf numFmtId="37" fontId="0" fillId="8" borderId="0" xfId="0" applyNumberFormat="1" applyFill="1"/>
    <xf numFmtId="0" fontId="6" fillId="13" borderId="0" xfId="0" applyFont="1" applyFill="1"/>
    <xf numFmtId="1" fontId="1" fillId="3" borderId="0" xfId="11" applyNumberFormat="1" applyFont="1" applyFill="1" applyBorder="1" applyAlignment="1">
      <alignment horizontal="left"/>
    </xf>
    <xf numFmtId="0" fontId="0" fillId="0" borderId="0" xfId="0" applyBorder="1" applyAlignment="1">
      <alignment horizontal="right"/>
    </xf>
    <xf numFmtId="0" fontId="0" fillId="17" borderId="0" xfId="0" applyFont="1" applyFill="1"/>
    <xf numFmtId="0" fontId="0" fillId="19" borderId="0" xfId="0" applyFont="1" applyFill="1"/>
    <xf numFmtId="0" fontId="13" fillId="14" borderId="0" xfId="0" applyFont="1" applyFill="1" applyBorder="1" applyAlignment="1">
      <alignment horizontal="center"/>
    </xf>
    <xf numFmtId="0" fontId="13" fillId="14" borderId="0" xfId="0" applyFont="1" applyFill="1" applyBorder="1" applyAlignment="1"/>
    <xf numFmtId="164" fontId="6" fillId="3" borderId="0" xfId="1" applyNumberFormat="1" applyFont="1" applyFill="1" applyBorder="1" applyAlignment="1">
      <alignment horizontal="center"/>
    </xf>
    <xf numFmtId="0" fontId="13" fillId="3" borderId="0" xfId="0" applyFont="1" applyFill="1" applyAlignment="1">
      <alignment horizontal="right"/>
    </xf>
    <xf numFmtId="0" fontId="13" fillId="3" borderId="0" xfId="0" applyFont="1" applyFill="1" applyAlignment="1">
      <alignment horizontal="center"/>
    </xf>
    <xf numFmtId="0" fontId="13" fillId="3" borderId="0" xfId="0" applyFont="1" applyFill="1" applyBorder="1" applyAlignment="1">
      <alignment horizontal="center"/>
    </xf>
    <xf numFmtId="0" fontId="13" fillId="3" borderId="0" xfId="0" applyFont="1" applyFill="1" applyBorder="1" applyAlignment="1"/>
    <xf numFmtId="37" fontId="13" fillId="3" borderId="0" xfId="0" applyNumberFormat="1" applyFont="1" applyFill="1" applyBorder="1" applyAlignment="1">
      <alignment horizontal="center"/>
    </xf>
    <xf numFmtId="37" fontId="13" fillId="3" borderId="0" xfId="0" applyNumberFormat="1" applyFont="1" applyFill="1" applyBorder="1" applyAlignment="1"/>
    <xf numFmtId="0" fontId="13" fillId="3" borderId="0" xfId="0" applyNumberFormat="1" applyFont="1" applyFill="1" applyBorder="1" applyAlignment="1">
      <alignment horizontal="center"/>
    </xf>
    <xf numFmtId="164" fontId="6" fillId="3" borderId="0" xfId="1" applyNumberFormat="1" applyFont="1" applyFill="1" applyBorder="1" applyAlignment="1">
      <alignment horizontal="right"/>
    </xf>
    <xf numFmtId="164" fontId="6" fillId="3" borderId="0" xfId="5" applyNumberFormat="1" applyFont="1" applyFill="1" applyBorder="1" applyAlignment="1">
      <alignment horizontal="right" wrapText="1"/>
    </xf>
    <xf numFmtId="164" fontId="6" fillId="3" borderId="0" xfId="2" applyNumberFormat="1" applyFont="1" applyFill="1" applyBorder="1" applyAlignment="1">
      <alignment horizontal="right"/>
    </xf>
    <xf numFmtId="164" fontId="6" fillId="3" borderId="0" xfId="2" applyNumberFormat="1" applyFont="1" applyFill="1" applyBorder="1" applyAlignment="1">
      <alignment horizontal="center"/>
    </xf>
    <xf numFmtId="0" fontId="49" fillId="4" borderId="30" xfId="3" applyFont="1" applyBorder="1" applyAlignment="1">
      <alignment horizontal="center"/>
    </xf>
    <xf numFmtId="0" fontId="49" fillId="4" borderId="15" xfId="3" applyFont="1" applyBorder="1" applyAlignment="1">
      <alignment horizontal="center"/>
    </xf>
    <xf numFmtId="0" fontId="49" fillId="4" borderId="12" xfId="3" applyFont="1" applyBorder="1" applyAlignment="1">
      <alignment horizontal="center"/>
    </xf>
    <xf numFmtId="0" fontId="49" fillId="15" borderId="30" xfId="3" applyFont="1" applyFill="1" applyBorder="1" applyAlignment="1">
      <alignment horizontal="center"/>
    </xf>
    <xf numFmtId="0" fontId="49" fillId="15" borderId="14" xfId="3" applyFont="1" applyFill="1" applyBorder="1" applyAlignment="1">
      <alignment horizontal="center"/>
    </xf>
    <xf numFmtId="0" fontId="22" fillId="15" borderId="13" xfId="0" applyFont="1" applyFill="1" applyBorder="1" applyAlignment="1">
      <alignment horizontal="center"/>
    </xf>
    <xf numFmtId="0" fontId="22" fillId="15" borderId="14" xfId="0" applyFont="1" applyFill="1" applyBorder="1" applyAlignment="1">
      <alignment horizontal="center"/>
    </xf>
    <xf numFmtId="0" fontId="46" fillId="0" borderId="12" xfId="0" applyFont="1" applyBorder="1" applyAlignment="1">
      <alignment horizontal="left" vertical="center"/>
    </xf>
    <xf numFmtId="0" fontId="46" fillId="0" borderId="14" xfId="0" applyFont="1" applyBorder="1" applyAlignment="1">
      <alignment horizontal="left" vertical="center"/>
    </xf>
    <xf numFmtId="0" fontId="46" fillId="0" borderId="12" xfId="0" applyFont="1" applyBorder="1" applyAlignment="1">
      <alignment horizontal="center" vertical="center"/>
    </xf>
    <xf numFmtId="1" fontId="46" fillId="0" borderId="12" xfId="0" applyNumberFormat="1" applyFont="1" applyBorder="1" applyAlignment="1">
      <alignment horizontal="center" vertical="center"/>
    </xf>
    <xf numFmtId="0" fontId="14" fillId="0" borderId="5" xfId="0" applyFont="1" applyBorder="1" applyAlignment="1">
      <alignment horizontal="center"/>
    </xf>
    <xf numFmtId="0" fontId="14" fillId="0" borderId="4"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xf>
  </cellXfs>
  <cellStyles count="13">
    <cellStyle name="60 % - Markeringsfarve6" xfId="9" builtinId="52"/>
    <cellStyle name="Beregning" xfId="8" builtinId="22"/>
    <cellStyle name="God" xfId="5" builtinId="26"/>
    <cellStyle name="Input" xfId="6" builtinId="20"/>
    <cellStyle name="Komma" xfId="1" builtinId="3"/>
    <cellStyle name="Kontroller celle" xfId="2" builtinId="23" customBuiltin="1"/>
    <cellStyle name="Markeringsfarve3" xfId="7" builtinId="37"/>
    <cellStyle name="Markeringsfarve6" xfId="12" builtinId="49"/>
    <cellStyle name="Neutral" xfId="11" builtinId="28" customBuiltin="1"/>
    <cellStyle name="Normal" xfId="0" builtinId="0"/>
    <cellStyle name="Output" xfId="3" builtinId="21"/>
    <cellStyle name="Procent" xfId="4" builtinId="5"/>
    <cellStyle name="Valuta" xfId="10" builtinId="4"/>
  </cellStyles>
  <dxfs count="4">
    <dxf>
      <font>
        <b/>
        <i val="0"/>
      </font>
      <border>
        <left style="thin">
          <color rgb="FF9C0006"/>
        </left>
        <right style="thin">
          <color rgb="FF9C0006"/>
        </right>
        <top style="thin">
          <color rgb="FF9C0006"/>
        </top>
        <bottom style="thin">
          <color rgb="FF9C0006"/>
        </bottom>
        <vertical/>
        <horizontal/>
      </border>
    </dxf>
    <dxf>
      <font>
        <b/>
        <i val="0"/>
      </font>
      <border>
        <left style="thin">
          <color rgb="FF9C0006"/>
        </left>
        <right style="thin">
          <color rgb="FF9C0006"/>
        </right>
        <top style="thin">
          <color rgb="FF9C0006"/>
        </top>
        <bottom style="thin">
          <color rgb="FF9C0006"/>
        </bottom>
        <vertical/>
        <horizontal/>
      </border>
    </dxf>
    <dxf>
      <font>
        <b/>
        <i val="0"/>
      </font>
      <border>
        <left style="thin">
          <color rgb="FF9C0006"/>
        </left>
        <right style="thin">
          <color rgb="FF9C0006"/>
        </right>
        <top style="thin">
          <color rgb="FF9C0006"/>
        </top>
        <bottom style="thin">
          <color rgb="FF9C0006"/>
        </bottom>
        <vertical/>
        <horizontal/>
      </border>
    </dxf>
    <dxf>
      <font>
        <b/>
        <i val="0"/>
      </font>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Minimumsudbytte,</a:t>
            </a:r>
            <a:r>
              <a:rPr lang="en-US" sz="1400" baseline="0"/>
              <a:t> 12 km transport</a:t>
            </a:r>
            <a:endParaRPr lang="en-US" sz="1400"/>
          </a:p>
        </c:rich>
      </c:tx>
      <c:layout>
        <c:manualLayout>
          <c:xMode val="edge"/>
          <c:yMode val="edge"/>
          <c:x val="0.12170757483291904"/>
          <c:y val="4.1166373375765071E-2"/>
        </c:manualLayout>
      </c:layout>
      <c:overlay val="0"/>
    </c:title>
    <c:autoTitleDeleted val="0"/>
    <c:plotArea>
      <c:layout/>
      <c:scatterChart>
        <c:scatterStyle val="lineMarker"/>
        <c:varyColors val="0"/>
        <c:ser>
          <c:idx val="0"/>
          <c:order val="0"/>
          <c:tx>
            <c:strRef>
              <c:f>'Cases Eng'!$B$29</c:f>
              <c:strCache>
                <c:ptCount val="1"/>
                <c:pt idx="0">
                  <c:v>kr/ton</c:v>
                </c:pt>
              </c:strCache>
            </c:strRef>
          </c:tx>
          <c:spPr>
            <a:ln w="28575">
              <a:noFill/>
            </a:ln>
          </c:spPr>
          <c:trendline>
            <c:trendlineType val="power"/>
            <c:dispRSqr val="0"/>
            <c:dispEq val="1"/>
            <c:trendlineLbl>
              <c:layout>
                <c:manualLayout>
                  <c:x val="0.3598407021932849"/>
                  <c:y val="-0.37738147289898427"/>
                </c:manualLayout>
              </c:layout>
              <c:numFmt formatCode="General" sourceLinked="0"/>
            </c:trendlineLbl>
          </c:trendline>
          <c:xVal>
            <c:numRef>
              <c:f>'Cases Eng'!$B$30:$B$34</c:f>
              <c:numCache>
                <c:formatCode>General</c:formatCode>
                <c:ptCount val="5"/>
                <c:pt idx="0">
                  <c:v>2067</c:v>
                </c:pt>
                <c:pt idx="1">
                  <c:v>689</c:v>
                </c:pt>
                <c:pt idx="2">
                  <c:v>413</c:v>
                </c:pt>
                <c:pt idx="3">
                  <c:v>295</c:v>
                </c:pt>
                <c:pt idx="4">
                  <c:v>207</c:v>
                </c:pt>
              </c:numCache>
            </c:numRef>
          </c:xVal>
          <c:yVal>
            <c:numRef>
              <c:f>'Cases Eng'!$A$30:$A$34</c:f>
              <c:numCache>
                <c:formatCode>General</c:formatCode>
                <c:ptCount val="5"/>
                <c:pt idx="0">
                  <c:v>1</c:v>
                </c:pt>
                <c:pt idx="1">
                  <c:v>3</c:v>
                </c:pt>
                <c:pt idx="2">
                  <c:v>5</c:v>
                </c:pt>
                <c:pt idx="3">
                  <c:v>7</c:v>
                </c:pt>
                <c:pt idx="4">
                  <c:v>10</c:v>
                </c:pt>
              </c:numCache>
            </c:numRef>
          </c:yVal>
          <c:smooth val="0"/>
        </c:ser>
        <c:dLbls>
          <c:showLegendKey val="0"/>
          <c:showVal val="0"/>
          <c:showCatName val="0"/>
          <c:showSerName val="0"/>
          <c:showPercent val="0"/>
          <c:showBubbleSize val="0"/>
        </c:dLbls>
        <c:axId val="44769280"/>
        <c:axId val="44771200"/>
      </c:scatterChart>
      <c:valAx>
        <c:axId val="44769280"/>
        <c:scaling>
          <c:orientation val="minMax"/>
        </c:scaling>
        <c:delete val="0"/>
        <c:axPos val="b"/>
        <c:title>
          <c:tx>
            <c:rich>
              <a:bodyPr/>
              <a:lstStyle/>
              <a:p>
                <a:pPr>
                  <a:defRPr/>
                </a:pPr>
                <a:r>
                  <a:rPr lang="da-DK"/>
                  <a:t>Pris, kr./ton</a:t>
                </a:r>
              </a:p>
            </c:rich>
          </c:tx>
          <c:overlay val="0"/>
        </c:title>
        <c:numFmt formatCode="General" sourceLinked="1"/>
        <c:majorTickMark val="none"/>
        <c:minorTickMark val="none"/>
        <c:tickLblPos val="nextTo"/>
        <c:crossAx val="44771200"/>
        <c:crosses val="autoZero"/>
        <c:crossBetween val="midCat"/>
      </c:valAx>
      <c:valAx>
        <c:axId val="44771200"/>
        <c:scaling>
          <c:orientation val="minMax"/>
        </c:scaling>
        <c:delete val="0"/>
        <c:axPos val="l"/>
        <c:majorGridlines/>
        <c:title>
          <c:tx>
            <c:rich>
              <a:bodyPr/>
              <a:lstStyle/>
              <a:p>
                <a:pPr>
                  <a:defRPr b="1"/>
                </a:pPr>
                <a:r>
                  <a:rPr lang="da-DK" b="1"/>
                  <a:t>Udbytte,</a:t>
                </a:r>
                <a:r>
                  <a:rPr lang="da-DK" b="1" baseline="0"/>
                  <a:t> ton/ha.</a:t>
                </a:r>
                <a:endParaRPr lang="da-DK" b="1"/>
              </a:p>
            </c:rich>
          </c:tx>
          <c:layout>
            <c:manualLayout>
              <c:xMode val="edge"/>
              <c:yMode val="edge"/>
              <c:x val="3.0555555555555555E-2"/>
              <c:y val="0.39435367454068243"/>
            </c:manualLayout>
          </c:layout>
          <c:overlay val="0"/>
        </c:title>
        <c:numFmt formatCode="General" sourceLinked="1"/>
        <c:majorTickMark val="none"/>
        <c:minorTickMark val="none"/>
        <c:tickLblPos val="nextTo"/>
        <c:crossAx val="447692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Minimumsudbytte, 20 km transport</a:t>
            </a:r>
          </a:p>
        </c:rich>
      </c:tx>
      <c:layout>
        <c:manualLayout>
          <c:xMode val="edge"/>
          <c:yMode val="edge"/>
          <c:x val="0.13068044619422572"/>
          <c:y val="3.7037037037037035E-2"/>
        </c:manualLayout>
      </c:layout>
      <c:overlay val="0"/>
    </c:title>
    <c:autoTitleDeleted val="0"/>
    <c:plotArea>
      <c:layout/>
      <c:scatterChart>
        <c:scatterStyle val="lineMarker"/>
        <c:varyColors val="0"/>
        <c:ser>
          <c:idx val="0"/>
          <c:order val="0"/>
          <c:tx>
            <c:strRef>
              <c:f>'Cases Eng'!$B$48</c:f>
              <c:strCache>
                <c:ptCount val="1"/>
                <c:pt idx="0">
                  <c:v>kr/ton</c:v>
                </c:pt>
              </c:strCache>
            </c:strRef>
          </c:tx>
          <c:spPr>
            <a:ln w="28575">
              <a:noFill/>
            </a:ln>
          </c:spPr>
          <c:trendline>
            <c:trendlineType val="power"/>
            <c:dispRSqr val="0"/>
            <c:dispEq val="1"/>
            <c:trendlineLbl>
              <c:layout>
                <c:manualLayout>
                  <c:x val="0.36976509186351708"/>
                  <c:y val="-0.35503062117235346"/>
                </c:manualLayout>
              </c:layout>
              <c:numFmt formatCode="General" sourceLinked="0"/>
            </c:trendlineLbl>
          </c:trendline>
          <c:xVal>
            <c:numRef>
              <c:f>'Cases Eng'!$B$49:$B$53</c:f>
              <c:numCache>
                <c:formatCode>General</c:formatCode>
                <c:ptCount val="5"/>
                <c:pt idx="0">
                  <c:v>2114</c:v>
                </c:pt>
                <c:pt idx="1">
                  <c:v>736</c:v>
                </c:pt>
                <c:pt idx="2">
                  <c:v>460</c:v>
                </c:pt>
                <c:pt idx="3">
                  <c:v>342</c:v>
                </c:pt>
                <c:pt idx="4">
                  <c:v>253</c:v>
                </c:pt>
              </c:numCache>
            </c:numRef>
          </c:xVal>
          <c:yVal>
            <c:numRef>
              <c:f>'Cases Eng'!$A$49:$A$53</c:f>
              <c:numCache>
                <c:formatCode>General</c:formatCode>
                <c:ptCount val="5"/>
                <c:pt idx="0">
                  <c:v>1</c:v>
                </c:pt>
                <c:pt idx="1">
                  <c:v>3</c:v>
                </c:pt>
                <c:pt idx="2">
                  <c:v>5</c:v>
                </c:pt>
                <c:pt idx="3">
                  <c:v>7</c:v>
                </c:pt>
                <c:pt idx="4">
                  <c:v>10</c:v>
                </c:pt>
              </c:numCache>
            </c:numRef>
          </c:yVal>
          <c:smooth val="0"/>
        </c:ser>
        <c:dLbls>
          <c:showLegendKey val="0"/>
          <c:showVal val="0"/>
          <c:showCatName val="0"/>
          <c:showSerName val="0"/>
          <c:showPercent val="0"/>
          <c:showBubbleSize val="0"/>
        </c:dLbls>
        <c:axId val="44804736"/>
        <c:axId val="44819200"/>
      </c:scatterChart>
      <c:valAx>
        <c:axId val="44804736"/>
        <c:scaling>
          <c:orientation val="minMax"/>
        </c:scaling>
        <c:delete val="0"/>
        <c:axPos val="b"/>
        <c:title>
          <c:tx>
            <c:rich>
              <a:bodyPr/>
              <a:lstStyle/>
              <a:p>
                <a:pPr>
                  <a:defRPr/>
                </a:pPr>
                <a:r>
                  <a:rPr lang="da-DK"/>
                  <a:t>Pris, kr./ton</a:t>
                </a:r>
              </a:p>
            </c:rich>
          </c:tx>
          <c:overlay val="0"/>
        </c:title>
        <c:numFmt formatCode="General" sourceLinked="1"/>
        <c:majorTickMark val="none"/>
        <c:minorTickMark val="none"/>
        <c:tickLblPos val="nextTo"/>
        <c:crossAx val="44819200"/>
        <c:crosses val="autoZero"/>
        <c:crossBetween val="midCat"/>
      </c:valAx>
      <c:valAx>
        <c:axId val="44819200"/>
        <c:scaling>
          <c:orientation val="minMax"/>
        </c:scaling>
        <c:delete val="0"/>
        <c:axPos val="l"/>
        <c:majorGridlines/>
        <c:title>
          <c:tx>
            <c:rich>
              <a:bodyPr/>
              <a:lstStyle/>
              <a:p>
                <a:pPr>
                  <a:defRPr/>
                </a:pPr>
                <a:r>
                  <a:rPr lang="da-DK"/>
                  <a:t>Udbytte, ton/ha.</a:t>
                </a:r>
              </a:p>
            </c:rich>
          </c:tx>
          <c:overlay val="0"/>
        </c:title>
        <c:numFmt formatCode="General" sourceLinked="1"/>
        <c:majorTickMark val="none"/>
        <c:minorTickMark val="none"/>
        <c:tickLblPos val="nextTo"/>
        <c:crossAx val="448047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Max. afstand</a:t>
            </a:r>
          </a:p>
        </c:rich>
      </c:tx>
      <c:overlay val="0"/>
    </c:title>
    <c:autoTitleDeleted val="0"/>
    <c:plotArea>
      <c:layout/>
      <c:scatterChart>
        <c:scatterStyle val="lineMarker"/>
        <c:varyColors val="0"/>
        <c:ser>
          <c:idx val="0"/>
          <c:order val="0"/>
          <c:spPr>
            <a:ln w="28575">
              <a:noFill/>
            </a:ln>
          </c:spPr>
          <c:trendline>
            <c:trendlineType val="linear"/>
            <c:dispRSqr val="0"/>
            <c:dispEq val="1"/>
            <c:trendlineLbl>
              <c:layout>
                <c:manualLayout>
                  <c:x val="0.425162510936133"/>
                  <c:y val="2.2050889472149313E-2"/>
                </c:manualLayout>
              </c:layout>
              <c:numFmt formatCode="General" sourceLinked="0"/>
            </c:trendlineLbl>
          </c:trendline>
          <c:xVal>
            <c:numRef>
              <c:f>'Cases Eng'!$B$70:$B$75</c:f>
              <c:numCache>
                <c:formatCode>General</c:formatCode>
                <c:ptCount val="6"/>
                <c:pt idx="0">
                  <c:v>356</c:v>
                </c:pt>
                <c:pt idx="1">
                  <c:v>374</c:v>
                </c:pt>
                <c:pt idx="2">
                  <c:v>385</c:v>
                </c:pt>
                <c:pt idx="3">
                  <c:v>403</c:v>
                </c:pt>
                <c:pt idx="4">
                  <c:v>432</c:v>
                </c:pt>
                <c:pt idx="5">
                  <c:v>455</c:v>
                </c:pt>
              </c:numCache>
            </c:numRef>
          </c:xVal>
          <c:yVal>
            <c:numRef>
              <c:f>'Cases Eng'!$A$70:$A$75</c:f>
              <c:numCache>
                <c:formatCode>General</c:formatCode>
                <c:ptCount val="6"/>
                <c:pt idx="0">
                  <c:v>12</c:v>
                </c:pt>
                <c:pt idx="1">
                  <c:v>15</c:v>
                </c:pt>
                <c:pt idx="2">
                  <c:v>17</c:v>
                </c:pt>
                <c:pt idx="3">
                  <c:v>20</c:v>
                </c:pt>
                <c:pt idx="4">
                  <c:v>25</c:v>
                </c:pt>
                <c:pt idx="5">
                  <c:v>30</c:v>
                </c:pt>
              </c:numCache>
            </c:numRef>
          </c:yVal>
          <c:smooth val="0"/>
        </c:ser>
        <c:dLbls>
          <c:showLegendKey val="0"/>
          <c:showVal val="0"/>
          <c:showCatName val="0"/>
          <c:showSerName val="0"/>
          <c:showPercent val="0"/>
          <c:showBubbleSize val="0"/>
        </c:dLbls>
        <c:axId val="67327872"/>
        <c:axId val="67334144"/>
      </c:scatterChart>
      <c:valAx>
        <c:axId val="67327872"/>
        <c:scaling>
          <c:orientation val="minMax"/>
          <c:min val="300"/>
        </c:scaling>
        <c:delete val="0"/>
        <c:axPos val="b"/>
        <c:title>
          <c:tx>
            <c:rich>
              <a:bodyPr/>
              <a:lstStyle/>
              <a:p>
                <a:pPr>
                  <a:defRPr/>
                </a:pPr>
                <a:r>
                  <a:rPr lang="da-DK"/>
                  <a:t>Pris, kr./ton</a:t>
                </a:r>
              </a:p>
            </c:rich>
          </c:tx>
          <c:overlay val="0"/>
        </c:title>
        <c:numFmt formatCode="General" sourceLinked="1"/>
        <c:majorTickMark val="none"/>
        <c:minorTickMark val="none"/>
        <c:tickLblPos val="nextTo"/>
        <c:crossAx val="67334144"/>
        <c:crosses val="autoZero"/>
        <c:crossBetween val="midCat"/>
      </c:valAx>
      <c:valAx>
        <c:axId val="67334144"/>
        <c:scaling>
          <c:orientation val="minMax"/>
          <c:min val="10"/>
        </c:scaling>
        <c:delete val="0"/>
        <c:axPos val="l"/>
        <c:majorGridlines/>
        <c:title>
          <c:tx>
            <c:rich>
              <a:bodyPr/>
              <a:lstStyle/>
              <a:p>
                <a:pPr>
                  <a:defRPr/>
                </a:pPr>
                <a:r>
                  <a:rPr lang="da-DK"/>
                  <a:t>Afstand</a:t>
                </a:r>
              </a:p>
            </c:rich>
          </c:tx>
          <c:overlay val="0"/>
        </c:title>
        <c:numFmt formatCode="General" sourceLinked="1"/>
        <c:majorTickMark val="none"/>
        <c:minorTickMark val="none"/>
        <c:tickLblPos val="nextTo"/>
        <c:crossAx val="673278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400"/>
              <a:t>Omlæsning?</a:t>
            </a:r>
          </a:p>
        </c:rich>
      </c:tx>
      <c:layout>
        <c:manualLayout>
          <c:xMode val="edge"/>
          <c:yMode val="edge"/>
          <c:x val="0.28565266841644793"/>
          <c:y val="5.0056882821387941E-2"/>
        </c:manualLayout>
      </c:layout>
      <c:overlay val="0"/>
    </c:title>
    <c:autoTitleDeleted val="0"/>
    <c:plotArea>
      <c:layout/>
      <c:scatterChart>
        <c:scatterStyle val="lineMarker"/>
        <c:varyColors val="0"/>
        <c:ser>
          <c:idx val="0"/>
          <c:order val="0"/>
          <c:tx>
            <c:v>Uden omlæsning</c:v>
          </c:tx>
          <c:spPr>
            <a:ln w="28575">
              <a:noFill/>
            </a:ln>
          </c:spPr>
          <c:trendline>
            <c:trendlineType val="linear"/>
            <c:dispRSqr val="0"/>
            <c:dispEq val="1"/>
            <c:trendlineLbl>
              <c:layout>
                <c:manualLayout>
                  <c:x val="0.25917935258092739"/>
                  <c:y val="-4.4650043744531936E-2"/>
                </c:manualLayout>
              </c:layout>
              <c:numFmt formatCode="General" sourceLinked="0"/>
            </c:trendlineLbl>
          </c:trendline>
          <c:xVal>
            <c:numRef>
              <c:f>'Cases Eng'!$B$90:$B$95</c:f>
              <c:numCache>
                <c:formatCode>General</c:formatCode>
                <c:ptCount val="6"/>
                <c:pt idx="0">
                  <c:v>385</c:v>
                </c:pt>
                <c:pt idx="1">
                  <c:v>403</c:v>
                </c:pt>
                <c:pt idx="2">
                  <c:v>432</c:v>
                </c:pt>
                <c:pt idx="3">
                  <c:v>455</c:v>
                </c:pt>
                <c:pt idx="4">
                  <c:v>484</c:v>
                </c:pt>
                <c:pt idx="5">
                  <c:v>514</c:v>
                </c:pt>
              </c:numCache>
            </c:numRef>
          </c:xVal>
          <c:yVal>
            <c:numRef>
              <c:f>'Cases Eng'!$A$90:$A$95</c:f>
              <c:numCache>
                <c:formatCode>General</c:formatCode>
                <c:ptCount val="6"/>
                <c:pt idx="0">
                  <c:v>17</c:v>
                </c:pt>
                <c:pt idx="1">
                  <c:v>20</c:v>
                </c:pt>
                <c:pt idx="2">
                  <c:v>25</c:v>
                </c:pt>
                <c:pt idx="3">
                  <c:v>30</c:v>
                </c:pt>
                <c:pt idx="4">
                  <c:v>35</c:v>
                </c:pt>
                <c:pt idx="5">
                  <c:v>40</c:v>
                </c:pt>
              </c:numCache>
            </c:numRef>
          </c:yVal>
          <c:smooth val="0"/>
        </c:ser>
        <c:ser>
          <c:idx val="1"/>
          <c:order val="1"/>
          <c:tx>
            <c:v>Med omlæsning</c:v>
          </c:tx>
          <c:spPr>
            <a:ln w="28575">
              <a:noFill/>
            </a:ln>
          </c:spPr>
          <c:trendline>
            <c:trendlineType val="linear"/>
            <c:dispRSqr val="0"/>
            <c:dispEq val="1"/>
            <c:trendlineLbl>
              <c:layout>
                <c:manualLayout>
                  <c:x val="0.22966404199475066"/>
                  <c:y val="0.29064304461942259"/>
                </c:manualLayout>
              </c:layout>
              <c:numFmt formatCode="General" sourceLinked="0"/>
            </c:trendlineLbl>
          </c:trendline>
          <c:xVal>
            <c:numRef>
              <c:f>'Cases Eng'!$C$90:$C$95</c:f>
              <c:numCache>
                <c:formatCode>General</c:formatCode>
                <c:ptCount val="6"/>
                <c:pt idx="0">
                  <c:v>431</c:v>
                </c:pt>
                <c:pt idx="1">
                  <c:v>437</c:v>
                </c:pt>
                <c:pt idx="2">
                  <c:v>447</c:v>
                </c:pt>
                <c:pt idx="3">
                  <c:v>454</c:v>
                </c:pt>
                <c:pt idx="4">
                  <c:v>466</c:v>
                </c:pt>
                <c:pt idx="5">
                  <c:v>474</c:v>
                </c:pt>
              </c:numCache>
            </c:numRef>
          </c:xVal>
          <c:yVal>
            <c:numRef>
              <c:f>'Cases Eng'!$A$90:$A$95</c:f>
              <c:numCache>
                <c:formatCode>General</c:formatCode>
                <c:ptCount val="6"/>
                <c:pt idx="0">
                  <c:v>17</c:v>
                </c:pt>
                <c:pt idx="1">
                  <c:v>20</c:v>
                </c:pt>
                <c:pt idx="2">
                  <c:v>25</c:v>
                </c:pt>
                <c:pt idx="3">
                  <c:v>30</c:v>
                </c:pt>
                <c:pt idx="4">
                  <c:v>35</c:v>
                </c:pt>
                <c:pt idx="5">
                  <c:v>40</c:v>
                </c:pt>
              </c:numCache>
            </c:numRef>
          </c:yVal>
          <c:smooth val="0"/>
        </c:ser>
        <c:dLbls>
          <c:showLegendKey val="0"/>
          <c:showVal val="0"/>
          <c:showCatName val="0"/>
          <c:showSerName val="0"/>
          <c:showPercent val="0"/>
          <c:showBubbleSize val="0"/>
        </c:dLbls>
        <c:axId val="67451520"/>
        <c:axId val="67457792"/>
      </c:scatterChart>
      <c:valAx>
        <c:axId val="67451520"/>
        <c:scaling>
          <c:orientation val="minMax"/>
          <c:min val="300"/>
        </c:scaling>
        <c:delete val="0"/>
        <c:axPos val="b"/>
        <c:title>
          <c:tx>
            <c:rich>
              <a:bodyPr/>
              <a:lstStyle/>
              <a:p>
                <a:pPr>
                  <a:defRPr/>
                </a:pPr>
                <a:r>
                  <a:rPr lang="da-DK"/>
                  <a:t>Pris, kr./ton</a:t>
                </a:r>
              </a:p>
            </c:rich>
          </c:tx>
          <c:overlay val="0"/>
        </c:title>
        <c:numFmt formatCode="General" sourceLinked="1"/>
        <c:majorTickMark val="none"/>
        <c:minorTickMark val="none"/>
        <c:tickLblPos val="nextTo"/>
        <c:crossAx val="67457792"/>
        <c:crosses val="autoZero"/>
        <c:crossBetween val="midCat"/>
      </c:valAx>
      <c:valAx>
        <c:axId val="67457792"/>
        <c:scaling>
          <c:orientation val="minMax"/>
          <c:min val="10"/>
        </c:scaling>
        <c:delete val="0"/>
        <c:axPos val="l"/>
        <c:majorGridlines/>
        <c:title>
          <c:tx>
            <c:rich>
              <a:bodyPr/>
              <a:lstStyle/>
              <a:p>
                <a:pPr>
                  <a:defRPr/>
                </a:pPr>
                <a:r>
                  <a:rPr lang="da-DK"/>
                  <a:t>Afstand, km</a:t>
                </a:r>
              </a:p>
            </c:rich>
          </c:tx>
          <c:overlay val="0"/>
        </c:title>
        <c:numFmt formatCode="General" sourceLinked="1"/>
        <c:majorTickMark val="none"/>
        <c:minorTickMark val="none"/>
        <c:tickLblPos val="nextTo"/>
        <c:crossAx val="67451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Omlæsning ?</a:t>
            </a:r>
          </a:p>
        </c:rich>
      </c:tx>
      <c:layout>
        <c:manualLayout>
          <c:xMode val="edge"/>
          <c:yMode val="edge"/>
          <c:x val="0.33959033245844267"/>
          <c:y val="3.7037037037037035E-2"/>
        </c:manualLayout>
      </c:layout>
      <c:overlay val="0"/>
    </c:title>
    <c:autoTitleDeleted val="0"/>
    <c:plotArea>
      <c:layout/>
      <c:scatterChart>
        <c:scatterStyle val="lineMarker"/>
        <c:varyColors val="0"/>
        <c:ser>
          <c:idx val="0"/>
          <c:order val="0"/>
          <c:tx>
            <c:v>Uden omlæsning</c:v>
          </c:tx>
          <c:spPr>
            <a:ln w="28575">
              <a:noFill/>
            </a:ln>
          </c:spPr>
          <c:trendline>
            <c:trendlineType val="linear"/>
            <c:dispRSqr val="0"/>
            <c:dispEq val="1"/>
            <c:trendlineLbl>
              <c:layout>
                <c:manualLayout>
                  <c:x val="0.28375371828521434"/>
                  <c:y val="0.11387649460484106"/>
                </c:manualLayout>
              </c:layout>
              <c:numFmt formatCode="General" sourceLinked="0"/>
            </c:trendlineLbl>
          </c:trendline>
          <c:xVal>
            <c:numRef>
              <c:f>'Cases Eng'!$A$90:$A$95</c:f>
              <c:numCache>
                <c:formatCode>General</c:formatCode>
                <c:ptCount val="6"/>
                <c:pt idx="0">
                  <c:v>17</c:v>
                </c:pt>
                <c:pt idx="1">
                  <c:v>20</c:v>
                </c:pt>
                <c:pt idx="2">
                  <c:v>25</c:v>
                </c:pt>
                <c:pt idx="3">
                  <c:v>30</c:v>
                </c:pt>
                <c:pt idx="4">
                  <c:v>35</c:v>
                </c:pt>
                <c:pt idx="5">
                  <c:v>40</c:v>
                </c:pt>
              </c:numCache>
            </c:numRef>
          </c:xVal>
          <c:yVal>
            <c:numRef>
              <c:f>'Cases Eng'!$B$90:$B$95</c:f>
              <c:numCache>
                <c:formatCode>General</c:formatCode>
                <c:ptCount val="6"/>
                <c:pt idx="0">
                  <c:v>385</c:v>
                </c:pt>
                <c:pt idx="1">
                  <c:v>403</c:v>
                </c:pt>
                <c:pt idx="2">
                  <c:v>432</c:v>
                </c:pt>
                <c:pt idx="3">
                  <c:v>455</c:v>
                </c:pt>
                <c:pt idx="4">
                  <c:v>484</c:v>
                </c:pt>
                <c:pt idx="5">
                  <c:v>514</c:v>
                </c:pt>
              </c:numCache>
            </c:numRef>
          </c:yVal>
          <c:smooth val="0"/>
        </c:ser>
        <c:ser>
          <c:idx val="1"/>
          <c:order val="1"/>
          <c:tx>
            <c:v>Med omlæsning</c:v>
          </c:tx>
          <c:spPr>
            <a:ln w="28575">
              <a:noFill/>
            </a:ln>
          </c:spPr>
          <c:trendline>
            <c:trendlineType val="linear"/>
            <c:dispRSqr val="0"/>
            <c:dispEq val="1"/>
            <c:trendlineLbl>
              <c:layout>
                <c:manualLayout>
                  <c:x val="0.2826218285214348"/>
                  <c:y val="-0.12567913385826771"/>
                </c:manualLayout>
              </c:layout>
              <c:numFmt formatCode="General" sourceLinked="0"/>
            </c:trendlineLbl>
          </c:trendline>
          <c:xVal>
            <c:numRef>
              <c:f>'Cases Eng'!$A$90:$A$95</c:f>
              <c:numCache>
                <c:formatCode>General</c:formatCode>
                <c:ptCount val="6"/>
                <c:pt idx="0">
                  <c:v>17</c:v>
                </c:pt>
                <c:pt idx="1">
                  <c:v>20</c:v>
                </c:pt>
                <c:pt idx="2">
                  <c:v>25</c:v>
                </c:pt>
                <c:pt idx="3">
                  <c:v>30</c:v>
                </c:pt>
                <c:pt idx="4">
                  <c:v>35</c:v>
                </c:pt>
                <c:pt idx="5">
                  <c:v>40</c:v>
                </c:pt>
              </c:numCache>
            </c:numRef>
          </c:xVal>
          <c:yVal>
            <c:numRef>
              <c:f>'Cases Eng'!$C$90:$C$95</c:f>
              <c:numCache>
                <c:formatCode>General</c:formatCode>
                <c:ptCount val="6"/>
                <c:pt idx="0">
                  <c:v>431</c:v>
                </c:pt>
                <c:pt idx="1">
                  <c:v>437</c:v>
                </c:pt>
                <c:pt idx="2">
                  <c:v>447</c:v>
                </c:pt>
                <c:pt idx="3">
                  <c:v>454</c:v>
                </c:pt>
                <c:pt idx="4">
                  <c:v>466</c:v>
                </c:pt>
                <c:pt idx="5">
                  <c:v>474</c:v>
                </c:pt>
              </c:numCache>
            </c:numRef>
          </c:yVal>
          <c:smooth val="0"/>
        </c:ser>
        <c:dLbls>
          <c:showLegendKey val="0"/>
          <c:showVal val="0"/>
          <c:showCatName val="0"/>
          <c:showSerName val="0"/>
          <c:showPercent val="0"/>
          <c:showBubbleSize val="0"/>
        </c:dLbls>
        <c:axId val="67499520"/>
        <c:axId val="67501440"/>
      </c:scatterChart>
      <c:valAx>
        <c:axId val="67499520"/>
        <c:scaling>
          <c:orientation val="minMax"/>
          <c:min val="10"/>
        </c:scaling>
        <c:delete val="0"/>
        <c:axPos val="b"/>
        <c:title>
          <c:tx>
            <c:rich>
              <a:bodyPr/>
              <a:lstStyle/>
              <a:p>
                <a:pPr>
                  <a:defRPr/>
                </a:pPr>
                <a:r>
                  <a:rPr lang="da-DK"/>
                  <a:t>Afstand, km</a:t>
                </a:r>
              </a:p>
            </c:rich>
          </c:tx>
          <c:overlay val="0"/>
        </c:title>
        <c:numFmt formatCode="General" sourceLinked="1"/>
        <c:majorTickMark val="none"/>
        <c:minorTickMark val="none"/>
        <c:tickLblPos val="nextTo"/>
        <c:crossAx val="67501440"/>
        <c:crosses val="autoZero"/>
        <c:crossBetween val="midCat"/>
      </c:valAx>
      <c:valAx>
        <c:axId val="67501440"/>
        <c:scaling>
          <c:orientation val="minMax"/>
          <c:min val="300"/>
        </c:scaling>
        <c:delete val="0"/>
        <c:axPos val="l"/>
        <c:majorGridlines/>
        <c:title>
          <c:tx>
            <c:rich>
              <a:bodyPr/>
              <a:lstStyle/>
              <a:p>
                <a:pPr>
                  <a:defRPr/>
                </a:pPr>
                <a:r>
                  <a:rPr lang="da-DK"/>
                  <a:t>Pris, kr./ton</a:t>
                </a:r>
              </a:p>
              <a:p>
                <a:pPr>
                  <a:defRPr/>
                </a:pPr>
                <a:endParaRPr lang="da-DK"/>
              </a:p>
            </c:rich>
          </c:tx>
          <c:overlay val="0"/>
        </c:title>
        <c:numFmt formatCode="General" sourceLinked="1"/>
        <c:majorTickMark val="none"/>
        <c:minorTickMark val="none"/>
        <c:tickLblPos val="nextTo"/>
        <c:crossAx val="6749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Style="combo" dx="16" fmlaLink="$AL$3" fmlaRange="Tabeller!$I$16:$I$17" noThreeD="1" sel="2" val="0"/>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Drop" dropStyle="combo" dx="16" fmlaLink="$AL$4" fmlaRange="Tabeller!$I$19:$I$21" noThreeD="1" val="0"/>
</file>

<file path=xl/ctrlProps/ctrlProp14.xml><?xml version="1.0" encoding="utf-8"?>
<formControlPr xmlns="http://schemas.microsoft.com/office/spreadsheetml/2009/9/main" objectType="Drop" dropStyle="combo" dx="16" fmlaLink="$AL$7" fmlaRange="Tabeller!$I$9:$I$10" noThreeD="1" sel="2" val="0"/>
</file>

<file path=xl/ctrlProps/ctrlProp15.xml><?xml version="1.0" encoding="utf-8"?>
<formControlPr xmlns="http://schemas.microsoft.com/office/spreadsheetml/2009/9/main" objectType="Drop" dropLines="4" dropStyle="combo" dx="16" fmlaLink="$AN$1" fmlaRange="Tabeller!$I$4:$I$6" noThreeD="1" val="0"/>
</file>

<file path=xl/ctrlProps/ctrlProp16.xml><?xml version="1.0" encoding="utf-8"?>
<formControlPr xmlns="http://schemas.microsoft.com/office/spreadsheetml/2009/9/main" objectType="Drop" dropLines="4" dropStyle="combo" dx="16" fmlaLink="$AN$2" fmlaRange="Tabeller!$I$4:$I$6" noThreeD="1" val="0"/>
</file>

<file path=xl/ctrlProps/ctrlProp17.xml><?xml version="1.0" encoding="utf-8"?>
<formControlPr xmlns="http://schemas.microsoft.com/office/spreadsheetml/2009/9/main" objectType="Drop" dropLines="4" dropStyle="combo" dx="16" fmlaLink="$AN$3" fmlaRange="Tabeller!$I$4:$I$6" noThreeD="1" sel="2" val="0"/>
</file>

<file path=xl/ctrlProps/ctrlProp18.xml><?xml version="1.0" encoding="utf-8"?>
<formControlPr xmlns="http://schemas.microsoft.com/office/spreadsheetml/2009/9/main" objectType="Drop" dropLines="4" dropStyle="combo" dx="16" fmlaLink="$AN$4" fmlaRange="Tabeller!$I$4:$I$6" noThreeD="1" val="0"/>
</file>

<file path=xl/ctrlProps/ctrlProp19.xml><?xml version="1.0" encoding="utf-8"?>
<formControlPr xmlns="http://schemas.microsoft.com/office/spreadsheetml/2009/9/main" objectType="Drop" dropLines="4" dropStyle="combo" dx="16" fmlaLink="$AN$5" fmlaRange="Tabeller!$I$4:$I$6" noThreeD="1" sel="2" val="0"/>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Drop" dropLines="4" dropStyle="combo" dx="16" fmlaLink="$AN$6" fmlaRange="Tabeller!$I$4:$I$6" noThreeD="1" val="0"/>
</file>

<file path=xl/ctrlProps/ctrlProp21.xml><?xml version="1.0" encoding="utf-8"?>
<formControlPr xmlns="http://schemas.microsoft.com/office/spreadsheetml/2009/9/main" objectType="Drop" dropLines="4" dropStyle="combo" dx="16" fmlaLink="$AN$7" fmlaRange="Tabeller!$I$4:$I$6" noThreeD="1" val="0"/>
</file>

<file path=xl/ctrlProps/ctrlProp22.xml><?xml version="1.0" encoding="utf-8"?>
<formControlPr xmlns="http://schemas.microsoft.com/office/spreadsheetml/2009/9/main" objectType="Drop" dropLines="4" dropStyle="combo" dx="16" fmlaLink="$AN$8" fmlaRange="Tabeller!$I$4:$I$6" noThreeD="1" val="0"/>
</file>

<file path=xl/ctrlProps/ctrlProp23.xml><?xml version="1.0" encoding="utf-8"?>
<formControlPr xmlns="http://schemas.microsoft.com/office/spreadsheetml/2009/9/main" objectType="Drop" dropLines="4" dropStyle="combo" dx="16" fmlaLink="$AN$9" fmlaRange="Tabeller!$I$4:$I$6" noThreeD="1" val="0"/>
</file>

<file path=xl/ctrlProps/ctrlProp24.xml><?xml version="1.0" encoding="utf-8"?>
<formControlPr xmlns="http://schemas.microsoft.com/office/spreadsheetml/2009/9/main" objectType="Drop" dropLines="4" dropStyle="combo" dx="16" fmlaLink="$AN$10" fmlaRange="Tabeller!$I$4:$I$6" noThreeD="1" sel="2" val="0"/>
</file>

<file path=xl/ctrlProps/ctrlProp25.xml><?xml version="1.0" encoding="utf-8"?>
<formControlPr xmlns="http://schemas.microsoft.com/office/spreadsheetml/2009/9/main" objectType="Drop" dropLines="4" dropStyle="combo" dx="16" fmlaLink="$AN$11" fmlaRange="Tabeller!$I$4:$I$6" noThreeD="1" val="0"/>
</file>

<file path=xl/ctrlProps/ctrlProp26.xml><?xml version="1.0" encoding="utf-8"?>
<formControlPr xmlns="http://schemas.microsoft.com/office/spreadsheetml/2009/9/main" objectType="Drop" dropLines="4" dropStyle="combo" dx="16" fmlaLink="$AN$12" fmlaRange="Tabeller!$I$4:$I$6" noThreeD="1" val="0"/>
</file>

<file path=xl/ctrlProps/ctrlProp27.xml><?xml version="1.0" encoding="utf-8"?>
<formControlPr xmlns="http://schemas.microsoft.com/office/spreadsheetml/2009/9/main" objectType="Drop" dropLines="4" dropStyle="combo" dx="16" fmlaLink="$AN$13" fmlaRange="Tabeller!$I$4:$I$6" noThreeD="1" sel="3" val="0"/>
</file>

<file path=xl/ctrlProps/ctrlProp28.xml><?xml version="1.0" encoding="utf-8"?>
<formControlPr xmlns="http://schemas.microsoft.com/office/spreadsheetml/2009/9/main" objectType="Drop" dropLines="4" dropStyle="combo" dx="16" fmlaLink="$AN$14" fmlaRange="Tabeller!$I$4:$I$6" noThreeD="1" val="0"/>
</file>

<file path=xl/ctrlProps/ctrlProp29.xml><?xml version="1.0" encoding="utf-8"?>
<formControlPr xmlns="http://schemas.microsoft.com/office/spreadsheetml/2009/9/main" objectType="Drop" dropLines="4" dropStyle="combo" dx="16" fmlaLink="$AN$15" fmlaRange="Tabeller!$I$4:$I$6" noThreeD="1" val="0"/>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Drop" dropLines="4" dropStyle="combo" dx="16" fmlaLink="$AN$16" fmlaRange="Tabeller!$I$4:$I$6" noThreeD="1" val="0"/>
</file>

<file path=xl/ctrlProps/ctrlProp31.xml><?xml version="1.0" encoding="utf-8"?>
<formControlPr xmlns="http://schemas.microsoft.com/office/spreadsheetml/2009/9/main" objectType="Drop" dropStyle="combo" dx="16" fmlaLink="$AL$7" fmlaRange="Tabeller!$I$13:$I$15" noThreeD="1" sel="2" val="0"/>
</file>

<file path=xl/ctrlProps/ctrlProp32.xml><?xml version="1.0" encoding="utf-8"?>
<formControlPr xmlns="http://schemas.microsoft.com/office/spreadsheetml/2009/9/main" objectType="Drop" dropStyle="combo" dx="16" fmlaLink="$AR$2" fmlaRange="Tabeller!$I$9:$I$10" noThreeD="1" val="0"/>
</file>

<file path=xl/ctrlProps/ctrlProp33.xml><?xml version="1.0" encoding="utf-8"?>
<formControlPr xmlns="http://schemas.microsoft.com/office/spreadsheetml/2009/9/main" objectType="Drop" dropStyle="combo" dx="16" fmlaLink="$AR$3" fmlaRange="Tabeller!$I$16:$I$17" noThreeD="1" sel="2" val="0"/>
</file>

<file path=xl/ctrlProps/ctrlProp34.xml><?xml version="1.0" encoding="utf-8"?>
<formControlPr xmlns="http://schemas.microsoft.com/office/spreadsheetml/2009/9/main" objectType="Drop" dropStyle="combo" dx="16" fmlaLink="$AR$4" fmlaRange="Tabeller!$I$19:$I$21" noThreeD="1" sel="2" val="0"/>
</file>

<file path=xl/ctrlProps/ctrlProp35.xml><?xml version="1.0" encoding="utf-8"?>
<formControlPr xmlns="http://schemas.microsoft.com/office/spreadsheetml/2009/9/main" objectType="Drop" dropStyle="combo" dx="16" fmlaLink="$AR$5" fmlaRange="Tabeller!$I$9:$I$10" noThreeD="1" val="0"/>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Drop" dropLines="4" dropStyle="combo" dx="16" fmlaLink="$AR$6" fmlaRange="Tabeller!$I$4:$I$6" noThreeD="1" val="0"/>
</file>

<file path=xl/ctrlProps/ctrlProp39.xml><?xml version="1.0" encoding="utf-8"?>
<formControlPr xmlns="http://schemas.microsoft.com/office/spreadsheetml/2009/9/main" objectType="Drop" dropLines="4" dropStyle="combo" dx="16" fmlaLink="$AR$7" fmlaRange="Tabeller!$I$4:$I$6" noThreeD="1" sel="2" val="0"/>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Drop" dropLines="4" dropStyle="combo" dx="16" fmlaLink="$AR$8" fmlaRange="Tabeller!$I$4:$I$6" noThreeD="1" val="0"/>
</file>

<file path=xl/ctrlProps/ctrlProp41.xml><?xml version="1.0" encoding="utf-8"?>
<formControlPr xmlns="http://schemas.microsoft.com/office/spreadsheetml/2009/9/main" objectType="Drop" dropLines="4" dropStyle="combo" dx="16" fmlaLink="$AR$9" fmlaRange="Tabeller!$I$4:$I$6" noThreeD="1" val="0"/>
</file>

<file path=xl/ctrlProps/ctrlProp42.xml><?xml version="1.0" encoding="utf-8"?>
<formControlPr xmlns="http://schemas.microsoft.com/office/spreadsheetml/2009/9/main" objectType="Drop" dropLines="4" dropStyle="combo" dx="16" fmlaLink="$AR$10" fmlaRange="Tabeller!$I$4:$I$6" noThreeD="1" val="0"/>
</file>

<file path=xl/ctrlProps/ctrlProp43.xml><?xml version="1.0" encoding="utf-8"?>
<formControlPr xmlns="http://schemas.microsoft.com/office/spreadsheetml/2009/9/main" objectType="Drop" dropLines="4" dropStyle="combo" dx="16" fmlaLink="$AR$11" fmlaRange="Tabeller!$I$4:$I$6" noThreeD="1" val="0"/>
</file>

<file path=xl/ctrlProps/ctrlProp44.xml><?xml version="1.0" encoding="utf-8"?>
<formControlPr xmlns="http://schemas.microsoft.com/office/spreadsheetml/2009/9/main" objectType="Drop" dropLines="4" dropStyle="combo" dx="16" fmlaLink="$AR$12" fmlaRange="Tabeller!$I$4:$I$6" noThreeD="1" val="0"/>
</file>

<file path=xl/ctrlProps/ctrlProp45.xml><?xml version="1.0" encoding="utf-8"?>
<formControlPr xmlns="http://schemas.microsoft.com/office/spreadsheetml/2009/9/main" objectType="Drop" dropLines="4" dropStyle="combo" dx="16" fmlaLink="$AR$13" fmlaRange="Tabeller!$I$4:$I$6" noThreeD="1" val="0"/>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CheckBox" checked="Checked" fmlaLink="$AG$4" noThreeD="1"/>
</file>

<file path=xl/ctrlProps/ctrlProp49.xml><?xml version="1.0" encoding="utf-8"?>
<formControlPr xmlns="http://schemas.microsoft.com/office/spreadsheetml/2009/9/main" objectType="Drop" dropLines="2" dropStyle="combo" dx="16" fmlaLink="$AG$5" fmlaRange="Tabeller!$B$17:$B$18" noThreeD="1" val="0"/>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Drop" dropLines="2" dropStyle="combo" dx="15" fmlaLink="$AG$3" fmlaRange="Tabeller!$B$7:$B$8" noThreeD="1" val="0"/>
</file>

<file path=xl/ctrlProps/ctrlProp51.xml><?xml version="1.0" encoding="utf-8"?>
<formControlPr xmlns="http://schemas.microsoft.com/office/spreadsheetml/2009/9/main" objectType="Drop" dropLines="3" dropStyle="combo" dx="15" fmlaLink="$AG$7" fmlaRange="Tabeller!$B$11:$B$13" noThreeD="1" sel="3" val="0"/>
</file>

<file path=xl/ctrlProps/ctrlProp52.xml><?xml version="1.0" encoding="utf-8"?>
<formControlPr xmlns="http://schemas.microsoft.com/office/spreadsheetml/2009/9/main" objectType="Drop" dropStyle="combo" dx="16" fmlaLink="$AG$6" fmlaRange="Tabeller!$I$9:$I$11" noThreeD="1" val="0"/>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Drop" dropStyle="combo" dx="16" fmlaLink="$AL$2" fmlaRange="Tabeller!$I$9:$I$10" noThreeD="1" sel="2" val="0"/>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8</xdr:row>
          <xdr:rowOff>95250</xdr:rowOff>
        </xdr:from>
        <xdr:to>
          <xdr:col>4</xdr:col>
          <xdr:colOff>342900</xdr:colOff>
          <xdr:row>11</xdr:row>
          <xdr:rowOff>104775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Straw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12</xdr:row>
          <xdr:rowOff>19050</xdr:rowOff>
        </xdr:from>
        <xdr:to>
          <xdr:col>7</xdr:col>
          <xdr:colOff>219075</xdr:colOff>
          <xdr:row>15</xdr:row>
          <xdr:rowOff>28575</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Meadow grass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12</xdr:row>
          <xdr:rowOff>19050</xdr:rowOff>
        </xdr:from>
        <xdr:to>
          <xdr:col>4</xdr:col>
          <xdr:colOff>352425</xdr:colOff>
          <xdr:row>15</xdr:row>
          <xdr:rowOff>28575</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Beets (not ready)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485775</xdr:colOff>
          <xdr:row>4</xdr:row>
          <xdr:rowOff>161925</xdr:rowOff>
        </xdr:from>
        <xdr:to>
          <xdr:col>7</xdr:col>
          <xdr:colOff>209550</xdr:colOff>
          <xdr:row>7</xdr:row>
          <xdr:rowOff>171450</xdr:rowOff>
        </xdr:to>
        <xdr:sp macro="" textlink="">
          <xdr:nvSpPr>
            <xdr:cNvPr id="2052" name="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Deep litter (not ready)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xdr:row>
          <xdr:rowOff>161925</xdr:rowOff>
        </xdr:from>
        <xdr:to>
          <xdr:col>4</xdr:col>
          <xdr:colOff>333375</xdr:colOff>
          <xdr:row>7</xdr:row>
          <xdr:rowOff>171450</xdr:rowOff>
        </xdr:to>
        <xdr:sp macro="" textlink="">
          <xdr:nvSpPr>
            <xdr:cNvPr id="2053" name="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Manure (not ready)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485775</xdr:colOff>
          <xdr:row>8</xdr:row>
          <xdr:rowOff>95250</xdr:rowOff>
        </xdr:from>
        <xdr:to>
          <xdr:col>7</xdr:col>
          <xdr:colOff>209550</xdr:colOff>
          <xdr:row>11</xdr:row>
          <xdr:rowOff>104775</xdr:rowOff>
        </xdr:to>
        <xdr:sp macro="" textlink="">
          <xdr:nvSpPr>
            <xdr:cNvPr id="2054" name="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Rape straw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495300</xdr:colOff>
          <xdr:row>15</xdr:row>
          <xdr:rowOff>152400</xdr:rowOff>
        </xdr:from>
        <xdr:to>
          <xdr:col>7</xdr:col>
          <xdr:colOff>219075</xdr:colOff>
          <xdr:row>18</xdr:row>
          <xdr:rowOff>161925</xdr:rowOff>
        </xdr:to>
        <xdr:sp macro="" textlink="">
          <xdr:nvSpPr>
            <xdr:cNvPr id="2055" name="Button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Maize (not ready)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15</xdr:row>
          <xdr:rowOff>123825</xdr:rowOff>
        </xdr:from>
        <xdr:to>
          <xdr:col>4</xdr:col>
          <xdr:colOff>352425</xdr:colOff>
          <xdr:row>18</xdr:row>
          <xdr:rowOff>133350</xdr:rowOff>
        </xdr:to>
        <xdr:sp macro="" textlink="">
          <xdr:nvSpPr>
            <xdr:cNvPr id="2057" name="Button 9" hidden="1">
              <a:extLst>
                <a:ext uri="{63B3BB69-23CF-44E3-9099-C40C66FF867C}">
                  <a14:compatExt spid="_x0000_s2057"/>
                </a:ext>
              </a:extLst>
            </xdr:cNvPr>
            <xdr:cNvSpPr/>
          </xdr:nvSpPr>
          <xdr:spPr>
            <a:xfrm>
              <a:off x="0" y="0"/>
              <a:ext cx="0" cy="0"/>
            </a:xfrm>
            <a:prstGeom prst="rect">
              <a:avLst/>
            </a:prstGeom>
          </xdr:spPr>
          <xdr:txBody>
            <a:bodyPr vertOverflow="clip" wrap="square" lIns="18288" tIns="0" rIns="0" bIns="0" anchor="ctr" upright="1"/>
            <a:lstStyle/>
            <a:p>
              <a:pPr algn="ctr" rtl="0">
                <a:defRPr sz="1000"/>
              </a:pPr>
              <a:endParaRPr lang="da-DK"/>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42</xdr:row>
          <xdr:rowOff>9525</xdr:rowOff>
        </xdr:from>
        <xdr:to>
          <xdr:col>0</xdr:col>
          <xdr:colOff>1847850</xdr:colOff>
          <xdr:row>43</xdr:row>
          <xdr:rowOff>19050</xdr:rowOff>
        </xdr:to>
        <xdr:sp macro="" textlink="">
          <xdr:nvSpPr>
            <xdr:cNvPr id="16386" name="Drop Down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9525</xdr:rowOff>
        </xdr:from>
        <xdr:to>
          <xdr:col>0</xdr:col>
          <xdr:colOff>1876425</xdr:colOff>
          <xdr:row>33</xdr:row>
          <xdr:rowOff>209550</xdr:rowOff>
        </xdr:to>
        <xdr:sp macro="" textlink="">
          <xdr:nvSpPr>
            <xdr:cNvPr id="16388" name="Drop Down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47</xdr:row>
          <xdr:rowOff>0</xdr:rowOff>
        </xdr:from>
        <xdr:to>
          <xdr:col>8</xdr:col>
          <xdr:colOff>95250</xdr:colOff>
          <xdr:row>49</xdr:row>
          <xdr:rowOff>76200</xdr:rowOff>
        </xdr:to>
        <xdr:sp macro="" textlink="">
          <xdr:nvSpPr>
            <xdr:cNvPr id="16392" name="Button 8" hidden="1">
              <a:extLst>
                <a:ext uri="{63B3BB69-23CF-44E3-9099-C40C66FF867C}">
                  <a14:compatExt spid="_x0000_s1639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Calculator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581025</xdr:colOff>
          <xdr:row>43</xdr:row>
          <xdr:rowOff>9525</xdr:rowOff>
        </xdr:from>
        <xdr:to>
          <xdr:col>8</xdr:col>
          <xdr:colOff>66675</xdr:colOff>
          <xdr:row>45</xdr:row>
          <xdr:rowOff>85725</xdr:rowOff>
        </xdr:to>
        <xdr:sp macro="" textlink="">
          <xdr:nvSpPr>
            <xdr:cNvPr id="16393" name="Button 9" hidden="1">
              <a:extLst>
                <a:ext uri="{63B3BB69-23CF-44E3-9099-C40C66FF867C}">
                  <a14:compatExt spid="_x0000_s1639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Return to "Start"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66675</xdr:rowOff>
        </xdr:from>
        <xdr:to>
          <xdr:col>0</xdr:col>
          <xdr:colOff>1857375</xdr:colOff>
          <xdr:row>49</xdr:row>
          <xdr:rowOff>76200</xdr:rowOff>
        </xdr:to>
        <xdr:sp macro="" textlink="">
          <xdr:nvSpPr>
            <xdr:cNvPr id="16394" name="Drop Down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9525</xdr:rowOff>
        </xdr:from>
        <xdr:to>
          <xdr:col>0</xdr:col>
          <xdr:colOff>1857375</xdr:colOff>
          <xdr:row>28</xdr:row>
          <xdr:rowOff>19050</xdr:rowOff>
        </xdr:to>
        <xdr:sp macro="" textlink="">
          <xdr:nvSpPr>
            <xdr:cNvPr id="16420" name="Drop Down 36"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1838325</xdr:colOff>
          <xdr:row>16</xdr:row>
          <xdr:rowOff>200025</xdr:rowOff>
        </xdr:to>
        <xdr:sp macro="" textlink="">
          <xdr:nvSpPr>
            <xdr:cNvPr id="16432" name="Drop Down 48" hidden="1">
              <a:extLst>
                <a:ext uri="{63B3BB69-23CF-44E3-9099-C40C66FF867C}">
                  <a14:compatExt spid="_x0000_s16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7</xdr:col>
          <xdr:colOff>1838325</xdr:colOff>
          <xdr:row>18</xdr:row>
          <xdr:rowOff>200025</xdr:rowOff>
        </xdr:to>
        <xdr:sp macro="" textlink="">
          <xdr:nvSpPr>
            <xdr:cNvPr id="16433" name="Drop Down 49" hidden="1">
              <a:extLst>
                <a:ext uri="{63B3BB69-23CF-44E3-9099-C40C66FF867C}">
                  <a14:compatExt spid="_x0000_s16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1838325</xdr:colOff>
          <xdr:row>20</xdr:row>
          <xdr:rowOff>200025</xdr:rowOff>
        </xdr:to>
        <xdr:sp macro="" textlink="">
          <xdr:nvSpPr>
            <xdr:cNvPr id="16434" name="Drop Down 50" hidden="1">
              <a:extLst>
                <a:ext uri="{63B3BB69-23CF-44E3-9099-C40C66FF867C}">
                  <a14:compatExt spid="_x0000_s1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7</xdr:col>
          <xdr:colOff>1847850</xdr:colOff>
          <xdr:row>22</xdr:row>
          <xdr:rowOff>200025</xdr:rowOff>
        </xdr:to>
        <xdr:sp macro="" textlink="">
          <xdr:nvSpPr>
            <xdr:cNvPr id="16435" name="Drop Down 51" hidden="1">
              <a:extLst>
                <a:ext uri="{63B3BB69-23CF-44E3-9099-C40C66FF867C}">
                  <a14:compatExt spid="_x0000_s16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47625</xdr:rowOff>
        </xdr:from>
        <xdr:to>
          <xdr:col>7</xdr:col>
          <xdr:colOff>1847850</xdr:colOff>
          <xdr:row>30</xdr:row>
          <xdr:rowOff>28575</xdr:rowOff>
        </xdr:to>
        <xdr:sp macro="" textlink="">
          <xdr:nvSpPr>
            <xdr:cNvPr id="16441" name="Drop Down 57" hidden="1">
              <a:extLst>
                <a:ext uri="{63B3BB69-23CF-44E3-9099-C40C66FF867C}">
                  <a14:compatExt spid="_x0000_s16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19050</xdr:rowOff>
        </xdr:from>
        <xdr:to>
          <xdr:col>7</xdr:col>
          <xdr:colOff>1847850</xdr:colOff>
          <xdr:row>32</xdr:row>
          <xdr:rowOff>0</xdr:rowOff>
        </xdr:to>
        <xdr:sp macro="" textlink="">
          <xdr:nvSpPr>
            <xdr:cNvPr id="16442" name="Drop Down 58" hidden="1">
              <a:extLst>
                <a:ext uri="{63B3BB69-23CF-44E3-9099-C40C66FF867C}">
                  <a14:compatExt spid="_x0000_s16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28575</xdr:rowOff>
        </xdr:from>
        <xdr:to>
          <xdr:col>7</xdr:col>
          <xdr:colOff>1838325</xdr:colOff>
          <xdr:row>34</xdr:row>
          <xdr:rowOff>9525</xdr:rowOff>
        </xdr:to>
        <xdr:sp macro="" textlink="">
          <xdr:nvSpPr>
            <xdr:cNvPr id="16443" name="Drop Down 59" hidden="1">
              <a:extLst>
                <a:ext uri="{63B3BB69-23CF-44E3-9099-C40C66FF867C}">
                  <a14:compatExt spid="_x0000_s16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19050</xdr:rowOff>
        </xdr:from>
        <xdr:to>
          <xdr:col>7</xdr:col>
          <xdr:colOff>1866900</xdr:colOff>
          <xdr:row>36</xdr:row>
          <xdr:rowOff>0</xdr:rowOff>
        </xdr:to>
        <xdr:sp macro="" textlink="">
          <xdr:nvSpPr>
            <xdr:cNvPr id="16444" name="Drop Down 60" hidden="1">
              <a:extLst>
                <a:ext uri="{63B3BB69-23CF-44E3-9099-C40C66FF867C}">
                  <a14:compatExt spid="_x0000_s16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0</xdr:rowOff>
        </xdr:from>
        <xdr:to>
          <xdr:col>24</xdr:col>
          <xdr:colOff>1838325</xdr:colOff>
          <xdr:row>30</xdr:row>
          <xdr:rowOff>200025</xdr:rowOff>
        </xdr:to>
        <xdr:sp macro="" textlink="">
          <xdr:nvSpPr>
            <xdr:cNvPr id="16445" name="Drop Down 61" hidden="1">
              <a:extLst>
                <a:ext uri="{63B3BB69-23CF-44E3-9099-C40C66FF867C}">
                  <a14:compatExt spid="_x0000_s16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0</xdr:rowOff>
        </xdr:from>
        <xdr:to>
          <xdr:col>24</xdr:col>
          <xdr:colOff>1838325</xdr:colOff>
          <xdr:row>32</xdr:row>
          <xdr:rowOff>200025</xdr:rowOff>
        </xdr:to>
        <xdr:sp macro="" textlink="">
          <xdr:nvSpPr>
            <xdr:cNvPr id="16446" name="Drop Down 62" hidden="1">
              <a:extLst>
                <a:ext uri="{63B3BB69-23CF-44E3-9099-C40C66FF867C}">
                  <a14:compatExt spid="_x0000_s16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0</xdr:rowOff>
        </xdr:from>
        <xdr:to>
          <xdr:col>24</xdr:col>
          <xdr:colOff>1838325</xdr:colOff>
          <xdr:row>34</xdr:row>
          <xdr:rowOff>200025</xdr:rowOff>
        </xdr:to>
        <xdr:sp macro="" textlink="">
          <xdr:nvSpPr>
            <xdr:cNvPr id="16447" name="Drop Down 63" hidden="1">
              <a:extLst>
                <a:ext uri="{63B3BB69-23CF-44E3-9099-C40C66FF867C}">
                  <a14:compatExt spid="_x0000_s16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35</xdr:row>
          <xdr:rowOff>200025</xdr:rowOff>
        </xdr:from>
        <xdr:to>
          <xdr:col>24</xdr:col>
          <xdr:colOff>1847850</xdr:colOff>
          <xdr:row>36</xdr:row>
          <xdr:rowOff>180975</xdr:rowOff>
        </xdr:to>
        <xdr:sp macro="" textlink="">
          <xdr:nvSpPr>
            <xdr:cNvPr id="16448" name="Drop Down 64" hidden="1">
              <a:extLst>
                <a:ext uri="{63B3BB69-23CF-44E3-9099-C40C66FF867C}">
                  <a14:compatExt spid="_x0000_s16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0</xdr:rowOff>
        </xdr:from>
        <xdr:to>
          <xdr:col>24</xdr:col>
          <xdr:colOff>1838325</xdr:colOff>
          <xdr:row>45</xdr:row>
          <xdr:rowOff>200025</xdr:rowOff>
        </xdr:to>
        <xdr:sp macro="" textlink="">
          <xdr:nvSpPr>
            <xdr:cNvPr id="16453" name="Drop Down 69" hidden="1">
              <a:extLst>
                <a:ext uri="{63B3BB69-23CF-44E3-9099-C40C66FF867C}">
                  <a14:compatExt spid="_x0000_s16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47</xdr:row>
          <xdr:rowOff>0</xdr:rowOff>
        </xdr:from>
        <xdr:to>
          <xdr:col>24</xdr:col>
          <xdr:colOff>1838325</xdr:colOff>
          <xdr:row>47</xdr:row>
          <xdr:rowOff>200025</xdr:rowOff>
        </xdr:to>
        <xdr:sp macro="" textlink="">
          <xdr:nvSpPr>
            <xdr:cNvPr id="16454" name="Drop Down 70" hidden="1">
              <a:extLst>
                <a:ext uri="{63B3BB69-23CF-44E3-9099-C40C66FF867C}">
                  <a14:compatExt spid="_x0000_s16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0</xdr:rowOff>
        </xdr:from>
        <xdr:to>
          <xdr:col>24</xdr:col>
          <xdr:colOff>1838325</xdr:colOff>
          <xdr:row>49</xdr:row>
          <xdr:rowOff>200025</xdr:rowOff>
        </xdr:to>
        <xdr:sp macro="" textlink="">
          <xdr:nvSpPr>
            <xdr:cNvPr id="16455" name="Drop Down 71" hidden="1">
              <a:extLst>
                <a:ext uri="{63B3BB69-23CF-44E3-9099-C40C66FF867C}">
                  <a14:compatExt spid="_x0000_s16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51</xdr:row>
          <xdr:rowOff>0</xdr:rowOff>
        </xdr:from>
        <xdr:to>
          <xdr:col>24</xdr:col>
          <xdr:colOff>1847850</xdr:colOff>
          <xdr:row>51</xdr:row>
          <xdr:rowOff>200025</xdr:rowOff>
        </xdr:to>
        <xdr:sp macro="" textlink="">
          <xdr:nvSpPr>
            <xdr:cNvPr id="16456" name="Drop Down 72" hidden="1">
              <a:extLst>
                <a:ext uri="{63B3BB69-23CF-44E3-9099-C40C66FF867C}">
                  <a14:compatExt spid="_x0000_s16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600075</xdr:colOff>
          <xdr:row>20</xdr:row>
          <xdr:rowOff>38100</xdr:rowOff>
        </xdr:from>
        <xdr:to>
          <xdr:col>24</xdr:col>
          <xdr:colOff>1828800</xdr:colOff>
          <xdr:row>21</xdr:row>
          <xdr:rowOff>19050</xdr:rowOff>
        </xdr:to>
        <xdr:sp macro="" textlink="">
          <xdr:nvSpPr>
            <xdr:cNvPr id="16457" name="Drop Down 73" hidden="1">
              <a:extLst>
                <a:ext uri="{63B3BB69-23CF-44E3-9099-C40C66FF867C}">
                  <a14:compatExt spid="_x0000_s1645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23</xdr:row>
          <xdr:rowOff>9525</xdr:rowOff>
        </xdr:from>
        <xdr:to>
          <xdr:col>0</xdr:col>
          <xdr:colOff>1847850</xdr:colOff>
          <xdr:row>24</xdr:row>
          <xdr:rowOff>19050</xdr:rowOff>
        </xdr:to>
        <xdr:sp macro="" textlink="">
          <xdr:nvSpPr>
            <xdr:cNvPr id="81922" name="Drop Down 2" hidden="1">
              <a:extLst>
                <a:ext uri="{63B3BB69-23CF-44E3-9099-C40C66FF867C}">
                  <a14:compatExt spid="_x0000_s81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0</xdr:col>
          <xdr:colOff>1847850</xdr:colOff>
          <xdr:row>28</xdr:row>
          <xdr:rowOff>209550</xdr:rowOff>
        </xdr:to>
        <xdr:sp macro="" textlink="">
          <xdr:nvSpPr>
            <xdr:cNvPr id="81923" name="Drop Down 3" hidden="1">
              <a:extLst>
                <a:ext uri="{63B3BB69-23CF-44E3-9099-C40C66FF867C}">
                  <a14:compatExt spid="_x0000_s81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xdr:row>
          <xdr:rowOff>19050</xdr:rowOff>
        </xdr:from>
        <xdr:to>
          <xdr:col>5</xdr:col>
          <xdr:colOff>1857375</xdr:colOff>
          <xdr:row>4</xdr:row>
          <xdr:rowOff>28575</xdr:rowOff>
        </xdr:to>
        <xdr:sp macro="" textlink="">
          <xdr:nvSpPr>
            <xdr:cNvPr id="81926" name="Drop Down 6" hidden="1">
              <a:extLst>
                <a:ext uri="{63B3BB69-23CF-44E3-9099-C40C66FF867C}">
                  <a14:compatExt spid="_x0000_s81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9525</xdr:rowOff>
        </xdr:from>
        <xdr:to>
          <xdr:col>0</xdr:col>
          <xdr:colOff>1847850</xdr:colOff>
          <xdr:row>37</xdr:row>
          <xdr:rowOff>19050</xdr:rowOff>
        </xdr:to>
        <xdr:sp macro="" textlink="">
          <xdr:nvSpPr>
            <xdr:cNvPr id="81942" name="Drop Down 22" hidden="1">
              <a:extLst>
                <a:ext uri="{63B3BB69-23CF-44E3-9099-C40C66FF867C}">
                  <a14:compatExt spid="_x0000_s81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1028700</xdr:colOff>
          <xdr:row>34</xdr:row>
          <xdr:rowOff>9525</xdr:rowOff>
        </xdr:from>
        <xdr:to>
          <xdr:col>7</xdr:col>
          <xdr:colOff>171450</xdr:colOff>
          <xdr:row>36</xdr:row>
          <xdr:rowOff>47625</xdr:rowOff>
        </xdr:to>
        <xdr:sp macro="" textlink="">
          <xdr:nvSpPr>
            <xdr:cNvPr id="81950" name="Button 30" hidden="1">
              <a:extLst>
                <a:ext uri="{63B3BB69-23CF-44E3-9099-C40C66FF867C}">
                  <a14:compatExt spid="_x0000_s8195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Calculate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1066800</xdr:colOff>
          <xdr:row>31</xdr:row>
          <xdr:rowOff>28575</xdr:rowOff>
        </xdr:from>
        <xdr:to>
          <xdr:col>7</xdr:col>
          <xdr:colOff>123825</xdr:colOff>
          <xdr:row>33</xdr:row>
          <xdr:rowOff>76200</xdr:rowOff>
        </xdr:to>
        <xdr:sp macro="" textlink="">
          <xdr:nvSpPr>
            <xdr:cNvPr id="81951" name="Button 31" hidden="1">
              <a:extLst>
                <a:ext uri="{63B3BB69-23CF-44E3-9099-C40C66FF867C}">
                  <a14:compatExt spid="_x0000_s8195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Return to "Start"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12</xdr:col>
          <xdr:colOff>200025</xdr:colOff>
          <xdr:row>17</xdr:row>
          <xdr:rowOff>0</xdr:rowOff>
        </xdr:to>
        <xdr:sp macro="" textlink="">
          <xdr:nvSpPr>
            <xdr:cNvPr id="81952" name="Drop Down 32" hidden="1">
              <a:extLst>
                <a:ext uri="{63B3BB69-23CF-44E3-9099-C40C66FF867C}">
                  <a14:compatExt spid="_x0000_s81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12</xdr:col>
          <xdr:colOff>200025</xdr:colOff>
          <xdr:row>19</xdr:row>
          <xdr:rowOff>0</xdr:rowOff>
        </xdr:to>
        <xdr:sp macro="" textlink="">
          <xdr:nvSpPr>
            <xdr:cNvPr id="81953" name="Drop Down 33" hidden="1">
              <a:extLst>
                <a:ext uri="{63B3BB69-23CF-44E3-9099-C40C66FF867C}">
                  <a14:compatExt spid="_x0000_s81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200025</xdr:colOff>
          <xdr:row>21</xdr:row>
          <xdr:rowOff>0</xdr:rowOff>
        </xdr:to>
        <xdr:sp macro="" textlink="">
          <xdr:nvSpPr>
            <xdr:cNvPr id="81954" name="Drop Down 34" hidden="1">
              <a:extLst>
                <a:ext uri="{63B3BB69-23CF-44E3-9099-C40C66FF867C}">
                  <a14:compatExt spid="_x0000_s81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0</xdr:rowOff>
        </xdr:from>
        <xdr:to>
          <xdr:col>12</xdr:col>
          <xdr:colOff>200025</xdr:colOff>
          <xdr:row>22</xdr:row>
          <xdr:rowOff>180975</xdr:rowOff>
        </xdr:to>
        <xdr:sp macro="" textlink="">
          <xdr:nvSpPr>
            <xdr:cNvPr id="81955" name="Drop Down 35" hidden="1">
              <a:extLst>
                <a:ext uri="{63B3BB69-23CF-44E3-9099-C40C66FF867C}">
                  <a14:compatExt spid="_x0000_s81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47625</xdr:rowOff>
        </xdr:from>
        <xdr:to>
          <xdr:col>12</xdr:col>
          <xdr:colOff>200025</xdr:colOff>
          <xdr:row>30</xdr:row>
          <xdr:rowOff>28575</xdr:rowOff>
        </xdr:to>
        <xdr:sp macro="" textlink="">
          <xdr:nvSpPr>
            <xdr:cNvPr id="81956" name="Drop Down 36" hidden="1">
              <a:extLst>
                <a:ext uri="{63B3BB69-23CF-44E3-9099-C40C66FF867C}">
                  <a14:compatExt spid="_x0000_s81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12</xdr:col>
          <xdr:colOff>200025</xdr:colOff>
          <xdr:row>32</xdr:row>
          <xdr:rowOff>0</xdr:rowOff>
        </xdr:to>
        <xdr:sp macro="" textlink="">
          <xdr:nvSpPr>
            <xdr:cNvPr id="81957" name="Drop Down 37" hidden="1">
              <a:extLst>
                <a:ext uri="{63B3BB69-23CF-44E3-9099-C40C66FF867C}">
                  <a14:compatExt spid="_x0000_s81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28575</xdr:rowOff>
        </xdr:from>
        <xdr:to>
          <xdr:col>12</xdr:col>
          <xdr:colOff>200025</xdr:colOff>
          <xdr:row>34</xdr:row>
          <xdr:rowOff>9525</xdr:rowOff>
        </xdr:to>
        <xdr:sp macro="" textlink="">
          <xdr:nvSpPr>
            <xdr:cNvPr id="81958" name="Drop Down 38" hidden="1">
              <a:extLst>
                <a:ext uri="{63B3BB69-23CF-44E3-9099-C40C66FF867C}">
                  <a14:compatExt spid="_x0000_s81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35</xdr:row>
          <xdr:rowOff>19050</xdr:rowOff>
        </xdr:from>
        <xdr:to>
          <xdr:col>12</xdr:col>
          <xdr:colOff>200025</xdr:colOff>
          <xdr:row>36</xdr:row>
          <xdr:rowOff>0</xdr:rowOff>
        </xdr:to>
        <xdr:sp macro="" textlink="">
          <xdr:nvSpPr>
            <xdr:cNvPr id="81959" name="Drop Down 39" hidden="1">
              <a:extLst>
                <a:ext uri="{63B3BB69-23CF-44E3-9099-C40C66FF867C}">
                  <a14:compatExt spid="_x0000_s8195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590550</xdr:colOff>
          <xdr:row>23</xdr:row>
          <xdr:rowOff>0</xdr:rowOff>
        </xdr:from>
        <xdr:to>
          <xdr:col>14</xdr:col>
          <xdr:colOff>28575</xdr:colOff>
          <xdr:row>24</xdr:row>
          <xdr:rowOff>47625</xdr:rowOff>
        </xdr:to>
        <xdr:sp macro="" textlink="">
          <xdr:nvSpPr>
            <xdr:cNvPr id="143362" name="Button 2" hidden="1">
              <a:extLst>
                <a:ext uri="{63B3BB69-23CF-44E3-9099-C40C66FF867C}">
                  <a14:compatExt spid="_x0000_s14336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Calculate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581025</xdr:colOff>
          <xdr:row>24</xdr:row>
          <xdr:rowOff>180975</xdr:rowOff>
        </xdr:from>
        <xdr:to>
          <xdr:col>14</xdr:col>
          <xdr:colOff>19050</xdr:colOff>
          <xdr:row>27</xdr:row>
          <xdr:rowOff>123825</xdr:rowOff>
        </xdr:to>
        <xdr:sp macro="" textlink="">
          <xdr:nvSpPr>
            <xdr:cNvPr id="143363" name="Button 3" hidden="1">
              <a:extLst>
                <a:ext uri="{63B3BB69-23CF-44E3-9099-C40C66FF867C}">
                  <a14:compatExt spid="_x0000_s14336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Return to "Start"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28575</xdr:rowOff>
        </xdr:from>
        <xdr:to>
          <xdr:col>11</xdr:col>
          <xdr:colOff>114300</xdr:colOff>
          <xdr:row>4</xdr:row>
          <xdr:rowOff>0</xdr:rowOff>
        </xdr:to>
        <xdr:sp macro="" textlink="">
          <xdr:nvSpPr>
            <xdr:cNvPr id="143364" name="Check Box 4" hidden="1">
              <a:extLst>
                <a:ext uri="{63B3BB69-23CF-44E3-9099-C40C66FF867C}">
                  <a14:compatExt spid="_x0000_s143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Extruding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19050</xdr:rowOff>
        </xdr:from>
        <xdr:to>
          <xdr:col>0</xdr:col>
          <xdr:colOff>1333500</xdr:colOff>
          <xdr:row>27</xdr:row>
          <xdr:rowOff>9525</xdr:rowOff>
        </xdr:to>
        <xdr:sp macro="" textlink="">
          <xdr:nvSpPr>
            <xdr:cNvPr id="143365" name="Drop Down 5" hidden="1">
              <a:extLst>
                <a:ext uri="{63B3BB69-23CF-44E3-9099-C40C66FF867C}">
                  <a14:compatExt spid="_x0000_s14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57150</xdr:rowOff>
        </xdr:from>
        <xdr:to>
          <xdr:col>0</xdr:col>
          <xdr:colOff>1152525</xdr:colOff>
          <xdr:row>19</xdr:row>
          <xdr:rowOff>66675</xdr:rowOff>
        </xdr:to>
        <xdr:sp macro="" textlink="">
          <xdr:nvSpPr>
            <xdr:cNvPr id="143374" name="Drop Down 14" hidden="1">
              <a:extLst>
                <a:ext uri="{63B3BB69-23CF-44E3-9099-C40C66FF867C}">
                  <a14:compatExt spid="_x0000_s14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152400</xdr:rowOff>
        </xdr:from>
        <xdr:to>
          <xdr:col>5</xdr:col>
          <xdr:colOff>1419225</xdr:colOff>
          <xdr:row>7</xdr:row>
          <xdr:rowOff>171450</xdr:rowOff>
        </xdr:to>
        <xdr:sp macro="" textlink="">
          <xdr:nvSpPr>
            <xdr:cNvPr id="143375" name="Drop Down 15" hidden="1">
              <a:extLst>
                <a:ext uri="{63B3BB69-23CF-44E3-9099-C40C66FF867C}">
                  <a14:compatExt spid="_x0000_s14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47625</xdr:rowOff>
        </xdr:from>
        <xdr:to>
          <xdr:col>0</xdr:col>
          <xdr:colOff>1876425</xdr:colOff>
          <xdr:row>36</xdr:row>
          <xdr:rowOff>57150</xdr:rowOff>
        </xdr:to>
        <xdr:sp macro="" textlink="">
          <xdr:nvSpPr>
            <xdr:cNvPr id="143376" name="Drop Down 16" hidden="1">
              <a:extLst>
                <a:ext uri="{63B3BB69-23CF-44E3-9099-C40C66FF867C}">
                  <a14:compatExt spid="_x0000_s14337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781050</xdr:colOff>
          <xdr:row>28</xdr:row>
          <xdr:rowOff>104775</xdr:rowOff>
        </xdr:from>
        <xdr:to>
          <xdr:col>8</xdr:col>
          <xdr:colOff>409575</xdr:colOff>
          <xdr:row>30</xdr:row>
          <xdr:rowOff>85725</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Straw entry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28</xdr:row>
          <xdr:rowOff>85725</xdr:rowOff>
        </xdr:from>
        <xdr:to>
          <xdr:col>9</xdr:col>
          <xdr:colOff>361950</xdr:colOff>
          <xdr:row>30</xdr:row>
          <xdr:rowOff>66675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Back to Start</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35</xdr:row>
          <xdr:rowOff>9525</xdr:rowOff>
        </xdr:from>
        <xdr:to>
          <xdr:col>2</xdr:col>
          <xdr:colOff>0</xdr:colOff>
          <xdr:row>36</xdr:row>
          <xdr:rowOff>180975</xdr:rowOff>
        </xdr:to>
        <xdr:sp macro="" textlink="">
          <xdr:nvSpPr>
            <xdr:cNvPr id="108545" name="Button 1" hidden="1">
              <a:extLst>
                <a:ext uri="{63B3BB69-23CF-44E3-9099-C40C66FF867C}">
                  <a14:compatExt spid="_x0000_s1085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Entry Rape Straw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23</xdr:row>
          <xdr:rowOff>19050</xdr:rowOff>
        </xdr:from>
        <xdr:to>
          <xdr:col>4</xdr:col>
          <xdr:colOff>1752600</xdr:colOff>
          <xdr:row>25</xdr:row>
          <xdr:rowOff>0</xdr:rowOff>
        </xdr:to>
        <xdr:sp macro="" textlink="">
          <xdr:nvSpPr>
            <xdr:cNvPr id="108546" name="Button 2" hidden="1">
              <a:extLst>
                <a:ext uri="{63B3BB69-23CF-44E3-9099-C40C66FF867C}">
                  <a14:compatExt spid="_x0000_s1085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Back to start</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27</xdr:row>
          <xdr:rowOff>123825</xdr:rowOff>
        </xdr:from>
        <xdr:to>
          <xdr:col>0</xdr:col>
          <xdr:colOff>0</xdr:colOff>
          <xdr:row>29</xdr:row>
          <xdr:rowOff>104775</xdr:rowOff>
        </xdr:to>
        <xdr:sp macro="" textlink="">
          <xdr:nvSpPr>
            <xdr:cNvPr id="12289" name="Button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Tilbage til indtastning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29</xdr:row>
          <xdr:rowOff>180975</xdr:rowOff>
        </xdr:from>
        <xdr:to>
          <xdr:col>1</xdr:col>
          <xdr:colOff>1104900</xdr:colOff>
          <xdr:row>31</xdr:row>
          <xdr:rowOff>161925</xdr:rowOff>
        </xdr:to>
        <xdr:sp macro="" textlink="">
          <xdr:nvSpPr>
            <xdr:cNvPr id="12290" name="Button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Start</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590550</xdr:colOff>
      <xdr:row>27</xdr:row>
      <xdr:rowOff>23812</xdr:rowOff>
    </xdr:from>
    <xdr:to>
      <xdr:col>11</xdr:col>
      <xdr:colOff>390525</xdr:colOff>
      <xdr:row>41</xdr:row>
      <xdr:rowOff>133350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600075</xdr:colOff>
      <xdr:row>46</xdr:row>
      <xdr:rowOff>166687</xdr:rowOff>
    </xdr:from>
    <xdr:to>
      <xdr:col>11</xdr:col>
      <xdr:colOff>295275</xdr:colOff>
      <xdr:row>61</xdr:row>
      <xdr:rowOff>52387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67</xdr:row>
      <xdr:rowOff>157162</xdr:rowOff>
    </xdr:from>
    <xdr:to>
      <xdr:col>11</xdr:col>
      <xdr:colOff>209550</xdr:colOff>
      <xdr:row>82</xdr:row>
      <xdr:rowOff>42862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571500</xdr:colOff>
      <xdr:row>84</xdr:row>
      <xdr:rowOff>176212</xdr:rowOff>
    </xdr:from>
    <xdr:to>
      <xdr:col>15</xdr:col>
      <xdr:colOff>266700</xdr:colOff>
      <xdr:row>99</xdr:row>
      <xdr:rowOff>61912</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600075</xdr:colOff>
      <xdr:row>101</xdr:row>
      <xdr:rowOff>23812</xdr:rowOff>
    </xdr:from>
    <xdr:to>
      <xdr:col>15</xdr:col>
      <xdr:colOff>295275</xdr:colOff>
      <xdr:row>115</xdr:row>
      <xdr:rowOff>100012</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p\AppData\Local\Microsoft\Windows\Temporary%20Internet%20Files\Content.Outlook\FTRVPMA0\KOPI_S&#248;rensmodel_Efterafgr&#248;der_Biogas_&#229;bn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terafgr"/>
      <sheetName val="Normer"/>
      <sheetName val="Data"/>
      <sheetName val="Ark3"/>
      <sheetName val="Ark1"/>
    </sheetNames>
    <sheetDataSet>
      <sheetData sheetId="0"/>
      <sheetData sheetId="1"/>
      <sheetData sheetId="2">
        <row r="26">
          <cell r="B26">
            <v>1</v>
          </cell>
        </row>
        <row r="27">
          <cell r="B27">
            <v>2</v>
          </cell>
          <cell r="C27" t="str">
            <v>Ital. Rajgræs</v>
          </cell>
          <cell r="E27">
            <v>900</v>
          </cell>
          <cell r="F27">
            <v>900</v>
          </cell>
          <cell r="G27">
            <v>1100</v>
          </cell>
          <cell r="H27">
            <v>900</v>
          </cell>
          <cell r="I27">
            <v>900</v>
          </cell>
          <cell r="J27">
            <v>1600</v>
          </cell>
          <cell r="K27">
            <v>1600</v>
          </cell>
          <cell r="L27">
            <v>1800</v>
          </cell>
          <cell r="M27">
            <v>1600</v>
          </cell>
          <cell r="N27">
            <v>1600</v>
          </cell>
          <cell r="O27">
            <v>300</v>
          </cell>
          <cell r="P27">
            <v>24</v>
          </cell>
          <cell r="Q27">
            <v>10</v>
          </cell>
          <cell r="R27">
            <v>52</v>
          </cell>
          <cell r="S27">
            <v>52</v>
          </cell>
          <cell r="T27">
            <v>53</v>
          </cell>
          <cell r="U27">
            <v>52</v>
          </cell>
          <cell r="V27">
            <v>52</v>
          </cell>
          <cell r="W27">
            <v>17</v>
          </cell>
          <cell r="X27">
            <v>25</v>
          </cell>
          <cell r="AA27">
            <v>120</v>
          </cell>
          <cell r="AB27">
            <v>220</v>
          </cell>
          <cell r="AC27">
            <v>200</v>
          </cell>
          <cell r="AD27">
            <v>150</v>
          </cell>
          <cell r="AE27">
            <v>300</v>
          </cell>
          <cell r="AI27">
            <v>16.2</v>
          </cell>
          <cell r="AJ27">
            <v>0.35</v>
          </cell>
          <cell r="AK27">
            <v>2.9</v>
          </cell>
          <cell r="AL27">
            <v>0</v>
          </cell>
          <cell r="AM27">
            <v>50</v>
          </cell>
          <cell r="AN27">
            <v>2</v>
          </cell>
          <cell r="AO27">
            <v>100</v>
          </cell>
          <cell r="AP27">
            <v>0.8</v>
          </cell>
          <cell r="AQ27">
            <v>-1.9E-2</v>
          </cell>
          <cell r="AR27">
            <v>3.0760000000000001</v>
          </cell>
          <cell r="AS27">
            <v>0.42</v>
          </cell>
          <cell r="AT27">
            <v>0.44</v>
          </cell>
          <cell r="AU27">
            <v>0.48</v>
          </cell>
          <cell r="AV27">
            <v>0.51</v>
          </cell>
        </row>
        <row r="28">
          <cell r="B28">
            <v>3</v>
          </cell>
          <cell r="C28" t="str">
            <v>Alm. Rajgræs</v>
          </cell>
          <cell r="E28">
            <v>600</v>
          </cell>
          <cell r="F28">
            <v>600</v>
          </cell>
          <cell r="G28">
            <v>800</v>
          </cell>
          <cell r="H28">
            <v>600</v>
          </cell>
          <cell r="I28">
            <v>600</v>
          </cell>
          <cell r="J28">
            <v>1200</v>
          </cell>
          <cell r="K28">
            <v>1200</v>
          </cell>
          <cell r="L28">
            <v>1400</v>
          </cell>
          <cell r="M28">
            <v>1200</v>
          </cell>
          <cell r="N28">
            <v>1200</v>
          </cell>
          <cell r="O28">
            <v>300</v>
          </cell>
          <cell r="P28">
            <v>24</v>
          </cell>
          <cell r="Q28">
            <v>10</v>
          </cell>
          <cell r="R28">
            <v>52</v>
          </cell>
          <cell r="S28">
            <v>52</v>
          </cell>
          <cell r="T28">
            <v>53</v>
          </cell>
          <cell r="U28">
            <v>52</v>
          </cell>
          <cell r="V28">
            <v>52</v>
          </cell>
          <cell r="W28">
            <v>17</v>
          </cell>
          <cell r="X28">
            <v>25</v>
          </cell>
          <cell r="AA28">
            <v>120</v>
          </cell>
          <cell r="AB28">
            <v>220</v>
          </cell>
          <cell r="AC28">
            <v>200</v>
          </cell>
          <cell r="AD28">
            <v>150</v>
          </cell>
          <cell r="AE28">
            <v>300</v>
          </cell>
          <cell r="AI28">
            <v>16.2</v>
          </cell>
          <cell r="AJ28">
            <v>0.35</v>
          </cell>
          <cell r="AK28">
            <v>2.9</v>
          </cell>
          <cell r="AL28">
            <v>0</v>
          </cell>
          <cell r="AM28">
            <v>50</v>
          </cell>
          <cell r="AN28">
            <v>0</v>
          </cell>
          <cell r="AO28">
            <v>70</v>
          </cell>
          <cell r="AP28">
            <v>0.8</v>
          </cell>
          <cell r="AQ28">
            <v>-1.9E-2</v>
          </cell>
          <cell r="AR28">
            <v>3.0760000000000001</v>
          </cell>
          <cell r="AS28">
            <v>0.42</v>
          </cell>
          <cell r="AT28">
            <v>0.44</v>
          </cell>
          <cell r="AU28">
            <v>0.48</v>
          </cell>
          <cell r="AV28">
            <v>0.51</v>
          </cell>
        </row>
        <row r="29">
          <cell r="B29">
            <v>4</v>
          </cell>
          <cell r="C29" t="str">
            <v>Olieræddike</v>
          </cell>
          <cell r="E29">
            <v>700</v>
          </cell>
          <cell r="F29">
            <v>700</v>
          </cell>
          <cell r="G29">
            <v>700</v>
          </cell>
          <cell r="H29">
            <v>700</v>
          </cell>
          <cell r="I29">
            <v>700</v>
          </cell>
          <cell r="J29">
            <v>700</v>
          </cell>
          <cell r="K29">
            <v>700</v>
          </cell>
          <cell r="L29">
            <v>700</v>
          </cell>
          <cell r="M29">
            <v>700</v>
          </cell>
          <cell r="N29">
            <v>700</v>
          </cell>
          <cell r="O29">
            <v>300</v>
          </cell>
          <cell r="P29">
            <v>15</v>
          </cell>
          <cell r="Q29">
            <v>10</v>
          </cell>
          <cell r="R29">
            <v>0</v>
          </cell>
          <cell r="S29">
            <v>0</v>
          </cell>
          <cell r="T29">
            <v>0</v>
          </cell>
          <cell r="U29">
            <v>0</v>
          </cell>
          <cell r="V29">
            <v>0</v>
          </cell>
          <cell r="W29">
            <v>17</v>
          </cell>
          <cell r="X29">
            <v>25</v>
          </cell>
          <cell r="AA29">
            <v>120</v>
          </cell>
          <cell r="AB29">
            <v>220</v>
          </cell>
          <cell r="AC29">
            <v>200</v>
          </cell>
          <cell r="AD29">
            <v>150</v>
          </cell>
          <cell r="AE29">
            <v>300</v>
          </cell>
          <cell r="AI29">
            <v>25</v>
          </cell>
          <cell r="AJ29">
            <v>0.53</v>
          </cell>
          <cell r="AK29">
            <v>4.4000000000000004</v>
          </cell>
          <cell r="AL29">
            <v>0</v>
          </cell>
          <cell r="AM29">
            <v>140</v>
          </cell>
          <cell r="AN29">
            <v>0</v>
          </cell>
        </row>
        <row r="30">
          <cell r="B30">
            <v>5</v>
          </cell>
          <cell r="C30" t="str">
            <v>Gul sennep</v>
          </cell>
          <cell r="E30">
            <v>700</v>
          </cell>
          <cell r="F30">
            <v>700</v>
          </cell>
          <cell r="G30">
            <v>700</v>
          </cell>
          <cell r="H30">
            <v>700</v>
          </cell>
          <cell r="I30">
            <v>700</v>
          </cell>
          <cell r="J30">
            <v>700</v>
          </cell>
          <cell r="K30">
            <v>700</v>
          </cell>
          <cell r="L30">
            <v>700</v>
          </cell>
          <cell r="M30">
            <v>700</v>
          </cell>
          <cell r="N30">
            <v>700</v>
          </cell>
          <cell r="O30">
            <v>300</v>
          </cell>
          <cell r="P30">
            <v>15</v>
          </cell>
          <cell r="Q30">
            <v>10</v>
          </cell>
          <cell r="R30">
            <v>0</v>
          </cell>
          <cell r="S30">
            <v>0</v>
          </cell>
          <cell r="T30">
            <v>0</v>
          </cell>
          <cell r="U30">
            <v>0</v>
          </cell>
          <cell r="V30">
            <v>0</v>
          </cell>
          <cell r="W30">
            <v>17</v>
          </cell>
          <cell r="X30">
            <v>25</v>
          </cell>
          <cell r="AA30">
            <v>120</v>
          </cell>
          <cell r="AB30">
            <v>220</v>
          </cell>
          <cell r="AC30">
            <v>200</v>
          </cell>
          <cell r="AD30">
            <v>150</v>
          </cell>
          <cell r="AE30">
            <v>300</v>
          </cell>
          <cell r="AI30">
            <v>25</v>
          </cell>
          <cell r="AJ30">
            <v>0.53</v>
          </cell>
          <cell r="AK30">
            <v>4.4000000000000004</v>
          </cell>
          <cell r="AL30">
            <v>0</v>
          </cell>
          <cell r="AM30">
            <v>140</v>
          </cell>
          <cell r="AN30">
            <v>0</v>
          </cell>
        </row>
        <row r="31">
          <cell r="B31">
            <v>6</v>
          </cell>
          <cell r="C31" t="str">
            <v>Frøgræs</v>
          </cell>
          <cell r="E31">
            <v>900</v>
          </cell>
          <cell r="F31">
            <v>900</v>
          </cell>
          <cell r="G31">
            <v>1100</v>
          </cell>
          <cell r="H31">
            <v>900</v>
          </cell>
          <cell r="I31">
            <v>900</v>
          </cell>
          <cell r="J31">
            <v>1600</v>
          </cell>
          <cell r="K31">
            <v>1600</v>
          </cell>
          <cell r="L31">
            <v>1800</v>
          </cell>
          <cell r="M31">
            <v>1600</v>
          </cell>
          <cell r="N31">
            <v>1600</v>
          </cell>
          <cell r="O31">
            <v>300</v>
          </cell>
          <cell r="P31">
            <v>24</v>
          </cell>
          <cell r="Q31">
            <v>10</v>
          </cell>
          <cell r="R31">
            <v>52</v>
          </cell>
          <cell r="S31">
            <v>52</v>
          </cell>
          <cell r="T31">
            <v>53</v>
          </cell>
          <cell r="U31">
            <v>52</v>
          </cell>
          <cell r="V31">
            <v>52</v>
          </cell>
          <cell r="W31">
            <v>17</v>
          </cell>
          <cell r="X31">
            <v>25</v>
          </cell>
          <cell r="AA31">
            <v>120</v>
          </cell>
          <cell r="AB31">
            <v>220</v>
          </cell>
          <cell r="AC31">
            <v>200</v>
          </cell>
          <cell r="AD31">
            <v>150</v>
          </cell>
          <cell r="AE31">
            <v>300</v>
          </cell>
          <cell r="AI31">
            <v>16.2</v>
          </cell>
          <cell r="AJ31">
            <v>0.35</v>
          </cell>
          <cell r="AK31">
            <v>2.9</v>
          </cell>
          <cell r="AL31">
            <v>0</v>
          </cell>
          <cell r="AM31">
            <v>0</v>
          </cell>
          <cell r="AN31">
            <v>0</v>
          </cell>
          <cell r="AO31">
            <v>70</v>
          </cell>
          <cell r="AP31">
            <v>0.8</v>
          </cell>
          <cell r="AQ31">
            <v>-1.9E-2</v>
          </cell>
          <cell r="AR31">
            <v>3.0760000000000001</v>
          </cell>
          <cell r="AS31">
            <v>0.42</v>
          </cell>
          <cell r="AT31">
            <v>0.44</v>
          </cell>
          <cell r="AU31">
            <v>0.48</v>
          </cell>
          <cell r="AV31">
            <v>0.51</v>
          </cell>
        </row>
        <row r="36">
          <cell r="B36">
            <v>1</v>
          </cell>
          <cell r="C36" t="str">
            <v>Pligtig efterafgrøde</v>
          </cell>
        </row>
        <row r="37">
          <cell r="B37">
            <v>2</v>
          </cell>
          <cell r="C37" t="str">
            <v>Frivillig efterafgrøde</v>
          </cell>
        </row>
        <row r="41">
          <cell r="B41">
            <v>1</v>
          </cell>
          <cell r="C41" t="str">
            <v>JB 1+3</v>
          </cell>
        </row>
        <row r="42">
          <cell r="B42">
            <v>2</v>
          </cell>
          <cell r="C42" t="str">
            <v>JB 2+4</v>
          </cell>
        </row>
        <row r="43">
          <cell r="B43">
            <v>3</v>
          </cell>
          <cell r="C43" t="str">
            <v>JB 1-4 vandet</v>
          </cell>
        </row>
        <row r="44">
          <cell r="B44">
            <v>4</v>
          </cell>
          <cell r="C44" t="str">
            <v>JB 5-6</v>
          </cell>
        </row>
        <row r="45">
          <cell r="B45">
            <v>5</v>
          </cell>
          <cell r="C45" t="str">
            <v>JB 7-9</v>
          </cell>
        </row>
        <row r="51">
          <cell r="B51">
            <v>1</v>
          </cell>
          <cell r="C51" t="str">
            <v>Ingen</v>
          </cell>
          <cell r="D51">
            <v>0</v>
          </cell>
          <cell r="E51">
            <v>0</v>
          </cell>
          <cell r="F51">
            <v>0</v>
          </cell>
          <cell r="G51">
            <v>0</v>
          </cell>
        </row>
        <row r="52">
          <cell r="B52">
            <v>2</v>
          </cell>
          <cell r="C52" t="str">
            <v>0,1 DE svin</v>
          </cell>
          <cell r="D52">
            <v>0.1</v>
          </cell>
          <cell r="E52">
            <v>0</v>
          </cell>
          <cell r="F52">
            <v>0</v>
          </cell>
          <cell r="G52">
            <v>0</v>
          </cell>
        </row>
        <row r="53">
          <cell r="B53">
            <v>3</v>
          </cell>
          <cell r="C53" t="str">
            <v>0,1 DE kvæg</v>
          </cell>
          <cell r="D53">
            <v>0.1</v>
          </cell>
          <cell r="E53">
            <v>0</v>
          </cell>
          <cell r="F53">
            <v>0</v>
          </cell>
          <cell r="G53">
            <v>0</v>
          </cell>
        </row>
        <row r="54">
          <cell r="B54">
            <v>4</v>
          </cell>
          <cell r="C54" t="str">
            <v>0,2 DE svin</v>
          </cell>
          <cell r="D54">
            <v>0.2</v>
          </cell>
          <cell r="E54">
            <v>0</v>
          </cell>
          <cell r="F54">
            <v>0</v>
          </cell>
          <cell r="G54">
            <v>0</v>
          </cell>
        </row>
        <row r="55">
          <cell r="B55">
            <v>5</v>
          </cell>
          <cell r="C55" t="str">
            <v>0,2 DE kvæg</v>
          </cell>
          <cell r="D55">
            <v>0.2</v>
          </cell>
          <cell r="E55">
            <v>0</v>
          </cell>
          <cell r="F55">
            <v>0</v>
          </cell>
          <cell r="G55">
            <v>0</v>
          </cell>
        </row>
        <row r="56">
          <cell r="B56">
            <v>6</v>
          </cell>
          <cell r="C56" t="str">
            <v>0,3 DE svin</v>
          </cell>
          <cell r="D56">
            <v>0.3</v>
          </cell>
          <cell r="E56">
            <v>0</v>
          </cell>
          <cell r="F56">
            <v>0</v>
          </cell>
          <cell r="G56">
            <v>0</v>
          </cell>
        </row>
        <row r="57">
          <cell r="B57">
            <v>7</v>
          </cell>
          <cell r="C57" t="str">
            <v>0,3 DE kvæg</v>
          </cell>
          <cell r="D57">
            <v>0.3</v>
          </cell>
          <cell r="E57">
            <v>0</v>
          </cell>
          <cell r="F57">
            <v>0</v>
          </cell>
          <cell r="G57">
            <v>0</v>
          </cell>
        </row>
        <row r="58">
          <cell r="B58">
            <v>8</v>
          </cell>
          <cell r="C58" t="str">
            <v>0,4 DE svin</v>
          </cell>
          <cell r="D58">
            <v>0.4</v>
          </cell>
          <cell r="E58">
            <v>0</v>
          </cell>
          <cell r="F58">
            <v>0</v>
          </cell>
          <cell r="G58">
            <v>0</v>
          </cell>
        </row>
        <row r="59">
          <cell r="B59">
            <v>9</v>
          </cell>
          <cell r="C59" t="str">
            <v>0,4 DE kvæg</v>
          </cell>
          <cell r="D59">
            <v>0.4</v>
          </cell>
          <cell r="E59">
            <v>0</v>
          </cell>
          <cell r="F59">
            <v>0</v>
          </cell>
          <cell r="G59">
            <v>0</v>
          </cell>
        </row>
        <row r="60">
          <cell r="B60">
            <v>10</v>
          </cell>
          <cell r="C60" t="str">
            <v>0,5 DE svin</v>
          </cell>
          <cell r="D60">
            <v>0.5</v>
          </cell>
          <cell r="E60">
            <v>0</v>
          </cell>
          <cell r="F60">
            <v>0</v>
          </cell>
          <cell r="G60">
            <v>0</v>
          </cell>
        </row>
        <row r="61">
          <cell r="B61">
            <v>11</v>
          </cell>
          <cell r="C61" t="str">
            <v>0,5 DE kvæg</v>
          </cell>
          <cell r="D61">
            <v>0.5</v>
          </cell>
          <cell r="E61">
            <v>0</v>
          </cell>
          <cell r="F61">
            <v>0</v>
          </cell>
          <cell r="G61">
            <v>0</v>
          </cell>
        </row>
        <row r="62">
          <cell r="B62">
            <v>12</v>
          </cell>
          <cell r="C62" t="str">
            <v>0,6 DE svin</v>
          </cell>
          <cell r="D62">
            <v>0.6</v>
          </cell>
          <cell r="E62">
            <v>0</v>
          </cell>
          <cell r="F62">
            <v>0</v>
          </cell>
          <cell r="G62">
            <v>0</v>
          </cell>
        </row>
        <row r="63">
          <cell r="B63">
            <v>13</v>
          </cell>
          <cell r="C63" t="str">
            <v>0,6 DE kvæg</v>
          </cell>
          <cell r="D63">
            <v>0.6</v>
          </cell>
          <cell r="E63">
            <v>0</v>
          </cell>
          <cell r="F63">
            <v>0</v>
          </cell>
          <cell r="G63">
            <v>0</v>
          </cell>
        </row>
        <row r="64">
          <cell r="B64">
            <v>14</v>
          </cell>
          <cell r="C64" t="str">
            <v>0,7 DE svin</v>
          </cell>
          <cell r="D64">
            <v>0.7</v>
          </cell>
          <cell r="E64">
            <v>0</v>
          </cell>
          <cell r="F64">
            <v>0</v>
          </cell>
          <cell r="G64">
            <v>0</v>
          </cell>
        </row>
        <row r="65">
          <cell r="B65">
            <v>15</v>
          </cell>
          <cell r="C65" t="str">
            <v>0,7 DE kvæg</v>
          </cell>
          <cell r="D65">
            <v>0.7</v>
          </cell>
          <cell r="E65">
            <v>0</v>
          </cell>
          <cell r="F65">
            <v>0</v>
          </cell>
          <cell r="G65">
            <v>0</v>
          </cell>
        </row>
        <row r="66">
          <cell r="B66">
            <v>16</v>
          </cell>
          <cell r="C66" t="str">
            <v>0,8 DE svin</v>
          </cell>
          <cell r="D66">
            <v>0.8</v>
          </cell>
          <cell r="E66">
            <v>0</v>
          </cell>
          <cell r="F66">
            <v>0</v>
          </cell>
          <cell r="G66">
            <v>0</v>
          </cell>
        </row>
        <row r="67">
          <cell r="B67">
            <v>17</v>
          </cell>
          <cell r="C67" t="str">
            <v>0,8 DE kvæg</v>
          </cell>
          <cell r="D67">
            <v>0.8</v>
          </cell>
          <cell r="E67">
            <v>0</v>
          </cell>
          <cell r="F67">
            <v>0</v>
          </cell>
          <cell r="G67">
            <v>0</v>
          </cell>
        </row>
        <row r="68">
          <cell r="B68">
            <v>18</v>
          </cell>
          <cell r="C68" t="str">
            <v>0,9 DE svin</v>
          </cell>
          <cell r="D68">
            <v>0.9</v>
          </cell>
          <cell r="E68">
            <v>0</v>
          </cell>
          <cell r="F68">
            <v>0</v>
          </cell>
          <cell r="G68">
            <v>0</v>
          </cell>
        </row>
        <row r="69">
          <cell r="B69">
            <v>19</v>
          </cell>
          <cell r="C69" t="str">
            <v>0,9 DE kvæg</v>
          </cell>
          <cell r="D69">
            <v>0.9</v>
          </cell>
          <cell r="E69">
            <v>0</v>
          </cell>
          <cell r="F69">
            <v>0</v>
          </cell>
          <cell r="G69">
            <v>0</v>
          </cell>
        </row>
        <row r="70">
          <cell r="B70">
            <v>20</v>
          </cell>
          <cell r="C70" t="str">
            <v>1,0 DE svin</v>
          </cell>
          <cell r="D70">
            <v>1</v>
          </cell>
          <cell r="E70">
            <v>0</v>
          </cell>
          <cell r="F70">
            <v>0</v>
          </cell>
          <cell r="G70">
            <v>0</v>
          </cell>
        </row>
        <row r="71">
          <cell r="B71">
            <v>21</v>
          </cell>
          <cell r="C71" t="str">
            <v>1,0 DE kvæg</v>
          </cell>
          <cell r="D71">
            <v>1</v>
          </cell>
          <cell r="E71">
            <v>0</v>
          </cell>
          <cell r="F71">
            <v>0</v>
          </cell>
          <cell r="G71">
            <v>0</v>
          </cell>
        </row>
        <row r="72">
          <cell r="B72">
            <v>22</v>
          </cell>
          <cell r="C72" t="str">
            <v>1,1 DE svin</v>
          </cell>
          <cell r="D72">
            <v>1.1000000000000001</v>
          </cell>
          <cell r="E72">
            <v>0</v>
          </cell>
          <cell r="F72">
            <v>0</v>
          </cell>
          <cell r="G72">
            <v>0</v>
          </cell>
        </row>
        <row r="73">
          <cell r="B73">
            <v>23</v>
          </cell>
          <cell r="C73" t="str">
            <v>1,1 DE kvæg</v>
          </cell>
          <cell r="D73">
            <v>1.1000000000000001</v>
          </cell>
          <cell r="E73">
            <v>0</v>
          </cell>
          <cell r="F73">
            <v>0</v>
          </cell>
          <cell r="G73">
            <v>0</v>
          </cell>
        </row>
        <row r="74">
          <cell r="B74">
            <v>24</v>
          </cell>
          <cell r="C74" t="str">
            <v>1,2 DE svin</v>
          </cell>
          <cell r="D74">
            <v>1.2</v>
          </cell>
          <cell r="E74">
            <v>0</v>
          </cell>
          <cell r="F74">
            <v>0</v>
          </cell>
          <cell r="G74">
            <v>0</v>
          </cell>
        </row>
        <row r="75">
          <cell r="B75">
            <v>25</v>
          </cell>
          <cell r="C75" t="str">
            <v>1,2 DE kvæg</v>
          </cell>
          <cell r="D75">
            <v>1.2</v>
          </cell>
          <cell r="E75">
            <v>0</v>
          </cell>
          <cell r="F75">
            <v>0</v>
          </cell>
          <cell r="G75">
            <v>0</v>
          </cell>
        </row>
        <row r="76">
          <cell r="B76">
            <v>26</v>
          </cell>
          <cell r="C76" t="str">
            <v>1,3 DE svin</v>
          </cell>
          <cell r="D76">
            <v>1.3</v>
          </cell>
          <cell r="E76">
            <v>0</v>
          </cell>
          <cell r="F76">
            <v>0</v>
          </cell>
          <cell r="G76">
            <v>0</v>
          </cell>
        </row>
        <row r="77">
          <cell r="B77">
            <v>27</v>
          </cell>
          <cell r="C77" t="str">
            <v>1,3 DE kvæg</v>
          </cell>
          <cell r="D77">
            <v>1.3</v>
          </cell>
          <cell r="E77">
            <v>0</v>
          </cell>
          <cell r="F77">
            <v>0</v>
          </cell>
          <cell r="G77">
            <v>0</v>
          </cell>
        </row>
        <row r="78">
          <cell r="B78">
            <v>28</v>
          </cell>
          <cell r="C78" t="str">
            <v>1,4 DE svin</v>
          </cell>
          <cell r="D78">
            <v>1.4</v>
          </cell>
          <cell r="E78">
            <v>0</v>
          </cell>
          <cell r="F78">
            <v>0</v>
          </cell>
          <cell r="G78">
            <v>0</v>
          </cell>
        </row>
        <row r="79">
          <cell r="B79">
            <v>29</v>
          </cell>
          <cell r="C79" t="str">
            <v>1,4 DE kvæg</v>
          </cell>
          <cell r="D79">
            <v>1.4</v>
          </cell>
          <cell r="E79">
            <v>0</v>
          </cell>
          <cell r="F79">
            <v>0</v>
          </cell>
          <cell r="G79">
            <v>0</v>
          </cell>
        </row>
        <row r="80">
          <cell r="B80">
            <v>30</v>
          </cell>
          <cell r="C80" t="str">
            <v>1,5 DE kvæg</v>
          </cell>
          <cell r="D80">
            <v>1.5</v>
          </cell>
          <cell r="E80">
            <v>0</v>
          </cell>
          <cell r="F80">
            <v>0</v>
          </cell>
          <cell r="G80">
            <v>0</v>
          </cell>
        </row>
        <row r="81">
          <cell r="B81">
            <v>31</v>
          </cell>
          <cell r="C81" t="str">
            <v>1,6 DE kvæg</v>
          </cell>
          <cell r="D81">
            <v>1.6</v>
          </cell>
          <cell r="E81">
            <v>0</v>
          </cell>
          <cell r="F81">
            <v>0</v>
          </cell>
          <cell r="G81">
            <v>0</v>
          </cell>
        </row>
        <row r="82">
          <cell r="B82">
            <v>32</v>
          </cell>
          <cell r="C82" t="str">
            <v>1,7 DE kvæg</v>
          </cell>
          <cell r="D82">
            <v>1.7</v>
          </cell>
          <cell r="E82">
            <v>0</v>
          </cell>
          <cell r="F82">
            <v>0</v>
          </cell>
          <cell r="G82">
            <v>0</v>
          </cell>
        </row>
        <row r="83">
          <cell r="B83">
            <v>33</v>
          </cell>
          <cell r="C83" t="str">
            <v>1,8 DE kvæg</v>
          </cell>
          <cell r="D83">
            <v>1.8</v>
          </cell>
          <cell r="E83">
            <v>0</v>
          </cell>
          <cell r="F83">
            <v>0</v>
          </cell>
          <cell r="G83">
            <v>0</v>
          </cell>
        </row>
        <row r="84">
          <cell r="B84">
            <v>34</v>
          </cell>
          <cell r="C84" t="str">
            <v>1,9 DE kvæg</v>
          </cell>
          <cell r="D84">
            <v>1.9</v>
          </cell>
          <cell r="E84">
            <v>0</v>
          </cell>
          <cell r="F84">
            <v>0</v>
          </cell>
          <cell r="G84">
            <v>0</v>
          </cell>
        </row>
        <row r="85">
          <cell r="B85">
            <v>35</v>
          </cell>
          <cell r="C85" t="str">
            <v>2,0 DE kvæg</v>
          </cell>
          <cell r="D85">
            <v>2</v>
          </cell>
          <cell r="E85">
            <v>0</v>
          </cell>
          <cell r="F85">
            <v>0</v>
          </cell>
          <cell r="G85">
            <v>0</v>
          </cell>
        </row>
        <row r="86">
          <cell r="B86">
            <v>36</v>
          </cell>
          <cell r="C86" t="str">
            <v>2,1 DE kvæg</v>
          </cell>
          <cell r="D86">
            <v>2.1</v>
          </cell>
          <cell r="E86">
            <v>0</v>
          </cell>
          <cell r="F86">
            <v>0</v>
          </cell>
          <cell r="G86">
            <v>0</v>
          </cell>
        </row>
        <row r="87">
          <cell r="B87">
            <v>37</v>
          </cell>
          <cell r="C87" t="str">
            <v>2,2 DE kvæg</v>
          </cell>
          <cell r="D87">
            <v>2.2000000000000002</v>
          </cell>
          <cell r="E87">
            <v>0</v>
          </cell>
          <cell r="F87">
            <v>0</v>
          </cell>
          <cell r="G87">
            <v>0</v>
          </cell>
        </row>
        <row r="88">
          <cell r="B88">
            <v>38</v>
          </cell>
          <cell r="C88" t="str">
            <v>2,3 DE kvæg</v>
          </cell>
          <cell r="D88">
            <v>2.2999999999999998</v>
          </cell>
          <cell r="E88">
            <v>0</v>
          </cell>
          <cell r="F88">
            <v>0</v>
          </cell>
          <cell r="G88">
            <v>0</v>
          </cell>
        </row>
        <row r="91">
          <cell r="B91">
            <v>1</v>
          </cell>
          <cell r="C91" t="str">
            <v>Finsnitning</v>
          </cell>
        </row>
        <row r="92">
          <cell r="B92">
            <v>2</v>
          </cell>
          <cell r="C92" t="str">
            <v>Rundballepresning</v>
          </cell>
        </row>
        <row r="95">
          <cell r="B95">
            <v>1</v>
          </cell>
          <cell r="C95" t="str">
            <v>Ingen lagring</v>
          </cell>
        </row>
        <row r="96">
          <cell r="B96">
            <v>2</v>
          </cell>
          <cell r="C96" t="str">
            <v>Plansilo</v>
          </cell>
        </row>
        <row r="97">
          <cell r="B97">
            <v>3</v>
          </cell>
          <cell r="C97" t="str">
            <v>Markstak</v>
          </cell>
        </row>
        <row r="98">
          <cell r="B98">
            <v>4</v>
          </cell>
          <cell r="C98" t="str">
            <v>Wrapballer</v>
          </cell>
        </row>
        <row r="101">
          <cell r="B101">
            <v>1</v>
          </cell>
          <cell r="C101" t="str">
            <v>Traktor m. vogn</v>
          </cell>
        </row>
        <row r="102">
          <cell r="B102">
            <v>2</v>
          </cell>
          <cell r="C102" t="str">
            <v>Lastbil</v>
          </cell>
        </row>
      </sheetData>
      <sheetData sheetId="3"/>
      <sheetData sheetId="4"/>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omments" Target="../comments1.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2.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4.vml"/><Relationship Id="rId7" Type="http://schemas.openxmlformats.org/officeDocument/2006/relationships/ctrlProp" Target="../ctrlProps/ctrlProp49.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11" Type="http://schemas.openxmlformats.org/officeDocument/2006/relationships/comments" Target="../comments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0" tint="-0.34998626667073579"/>
  </sheetPr>
  <dimension ref="A1:L27"/>
  <sheetViews>
    <sheetView workbookViewId="0">
      <selection activeCell="E10" sqref="E10"/>
    </sheetView>
  </sheetViews>
  <sheetFormatPr defaultRowHeight="15" x14ac:dyDescent="0.25"/>
  <cols>
    <col min="1" max="6" width="9.140625" style="4"/>
    <col min="7" max="7" width="9.140625" style="4" customWidth="1"/>
    <col min="8" max="16384" width="9.140625" style="4"/>
  </cols>
  <sheetData>
    <row r="1" spans="1:1" ht="21" x14ac:dyDescent="0.35">
      <c r="A1" s="8" t="s">
        <v>7</v>
      </c>
    </row>
    <row r="4" spans="1:1" ht="15.75" x14ac:dyDescent="0.25">
      <c r="A4" s="29" t="s">
        <v>8</v>
      </c>
    </row>
    <row r="22" spans="2:12" x14ac:dyDescent="0.25">
      <c r="L22" s="10"/>
    </row>
    <row r="25" spans="2:12" x14ac:dyDescent="0.25">
      <c r="B25" s="11"/>
    </row>
    <row r="26" spans="2:12" x14ac:dyDescent="0.25">
      <c r="B26" s="11"/>
    </row>
    <row r="27" spans="2:12" x14ac:dyDescent="0.25">
      <c r="B27" s="11"/>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GåTilHvedehalm">
                <anchor moveWithCells="1" sizeWithCells="1">
                  <from>
                    <xdr:col>2</xdr:col>
                    <xdr:colOff>9525</xdr:colOff>
                    <xdr:row>8</xdr:row>
                    <xdr:rowOff>95250</xdr:rowOff>
                  </from>
                  <to>
                    <xdr:col>4</xdr:col>
                    <xdr:colOff>342900</xdr:colOff>
                    <xdr:row>11</xdr:row>
                    <xdr:rowOff>104775</xdr:rowOff>
                  </to>
                </anchor>
              </controlPr>
            </control>
          </mc:Choice>
        </mc:AlternateContent>
        <mc:AlternateContent xmlns:mc="http://schemas.openxmlformats.org/markup-compatibility/2006">
          <mc:Choice Requires="x14">
            <control shapeId="2050" r:id="rId5" name="Button 2">
              <controlPr defaultSize="0" print="0" autoFill="0" autoPict="0" macro="[0]!GåTilEnggræs">
                <anchor moveWithCells="1" sizeWithCells="1">
                  <from>
                    <xdr:col>4</xdr:col>
                    <xdr:colOff>495300</xdr:colOff>
                    <xdr:row>12</xdr:row>
                    <xdr:rowOff>19050</xdr:rowOff>
                  </from>
                  <to>
                    <xdr:col>7</xdr:col>
                    <xdr:colOff>219075</xdr:colOff>
                    <xdr:row>15</xdr:row>
                    <xdr:rowOff>28575</xdr:rowOff>
                  </to>
                </anchor>
              </controlPr>
            </control>
          </mc:Choice>
        </mc:AlternateContent>
        <mc:AlternateContent xmlns:mc="http://schemas.openxmlformats.org/markup-compatibility/2006">
          <mc:Choice Requires="x14">
            <control shapeId="2051" r:id="rId6" name="Button 3">
              <controlPr defaultSize="0" print="0" autoFill="0" autoPict="0" macro="[0]!GåTilRoer">
                <anchor moveWithCells="1" sizeWithCells="1">
                  <from>
                    <xdr:col>2</xdr:col>
                    <xdr:colOff>19050</xdr:colOff>
                    <xdr:row>12</xdr:row>
                    <xdr:rowOff>19050</xdr:rowOff>
                  </from>
                  <to>
                    <xdr:col>4</xdr:col>
                    <xdr:colOff>352425</xdr:colOff>
                    <xdr:row>15</xdr:row>
                    <xdr:rowOff>28575</xdr:rowOff>
                  </to>
                </anchor>
              </controlPr>
            </control>
          </mc:Choice>
        </mc:AlternateContent>
        <mc:AlternateContent xmlns:mc="http://schemas.openxmlformats.org/markup-compatibility/2006">
          <mc:Choice Requires="x14">
            <control shapeId="2052" r:id="rId7" name="Button 4">
              <controlPr defaultSize="0" print="0" autoFill="0" autoPict="0" macro="[0]!GåTilDybstrøelse">
                <anchor moveWithCells="1" sizeWithCells="1">
                  <from>
                    <xdr:col>4</xdr:col>
                    <xdr:colOff>485775</xdr:colOff>
                    <xdr:row>4</xdr:row>
                    <xdr:rowOff>161925</xdr:rowOff>
                  </from>
                  <to>
                    <xdr:col>7</xdr:col>
                    <xdr:colOff>209550</xdr:colOff>
                    <xdr:row>7</xdr:row>
                    <xdr:rowOff>171450</xdr:rowOff>
                  </to>
                </anchor>
              </controlPr>
            </control>
          </mc:Choice>
        </mc:AlternateContent>
        <mc:AlternateContent xmlns:mc="http://schemas.openxmlformats.org/markup-compatibility/2006">
          <mc:Choice Requires="x14">
            <control shapeId="2053" r:id="rId8" name="Button 5">
              <controlPr defaultSize="0" print="0" autoFill="0" autoPict="0" macro="[0]!GåTilGylle">
                <anchor moveWithCells="1" sizeWithCells="1">
                  <from>
                    <xdr:col>2</xdr:col>
                    <xdr:colOff>0</xdr:colOff>
                    <xdr:row>4</xdr:row>
                    <xdr:rowOff>161925</xdr:rowOff>
                  </from>
                  <to>
                    <xdr:col>4</xdr:col>
                    <xdr:colOff>333375</xdr:colOff>
                    <xdr:row>7</xdr:row>
                    <xdr:rowOff>171450</xdr:rowOff>
                  </to>
                </anchor>
              </controlPr>
            </control>
          </mc:Choice>
        </mc:AlternateContent>
        <mc:AlternateContent xmlns:mc="http://schemas.openxmlformats.org/markup-compatibility/2006">
          <mc:Choice Requires="x14">
            <control shapeId="2054" r:id="rId9" name="Button 6">
              <controlPr defaultSize="0" print="0" autoFill="0" autoPict="0" macro="[0]!HvedehalmMedDecentraleBrikstationer">
                <anchor moveWithCells="1" sizeWithCells="1">
                  <from>
                    <xdr:col>4</xdr:col>
                    <xdr:colOff>485775</xdr:colOff>
                    <xdr:row>8</xdr:row>
                    <xdr:rowOff>95250</xdr:rowOff>
                  </from>
                  <to>
                    <xdr:col>7</xdr:col>
                    <xdr:colOff>209550</xdr:colOff>
                    <xdr:row>11</xdr:row>
                    <xdr:rowOff>104775</xdr:rowOff>
                  </to>
                </anchor>
              </controlPr>
            </control>
          </mc:Choice>
        </mc:AlternateContent>
        <mc:AlternateContent xmlns:mc="http://schemas.openxmlformats.org/markup-compatibility/2006">
          <mc:Choice Requires="x14">
            <control shapeId="2055" r:id="rId10" name="Button 7">
              <controlPr defaultSize="0" print="0" autoFill="0" autoPict="0" macro="[0]!GåTilMajs">
                <anchor moveWithCells="1" sizeWithCells="1">
                  <from>
                    <xdr:col>4</xdr:col>
                    <xdr:colOff>495300</xdr:colOff>
                    <xdr:row>15</xdr:row>
                    <xdr:rowOff>152400</xdr:rowOff>
                  </from>
                  <to>
                    <xdr:col>7</xdr:col>
                    <xdr:colOff>219075</xdr:colOff>
                    <xdr:row>18</xdr:row>
                    <xdr:rowOff>161925</xdr:rowOff>
                  </to>
                </anchor>
              </controlPr>
            </control>
          </mc:Choice>
        </mc:AlternateContent>
        <mc:AlternateContent xmlns:mc="http://schemas.openxmlformats.org/markup-compatibility/2006">
          <mc:Choice Requires="x14">
            <control shapeId="2057" r:id="rId11" name="Button 9">
              <controlPr defaultSize="0" print="0" autoFill="0" autoPict="0" macro="[0]!GåTilRapshalm">
                <anchor moveWithCells="1" sizeWithCells="1">
                  <from>
                    <xdr:col>2</xdr:col>
                    <xdr:colOff>19050</xdr:colOff>
                    <xdr:row>15</xdr:row>
                    <xdr:rowOff>123825</xdr:rowOff>
                  </from>
                  <to>
                    <xdr:col>4</xdr:col>
                    <xdr:colOff>352425</xdr:colOff>
                    <xdr:row>18</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B35"/>
  <sheetViews>
    <sheetView workbookViewId="0"/>
  </sheetViews>
  <sheetFormatPr defaultRowHeight="15" x14ac:dyDescent="0.25"/>
  <cols>
    <col min="1" max="1" width="30" customWidth="1"/>
    <col min="2" max="2" width="50.42578125" customWidth="1"/>
  </cols>
  <sheetData>
    <row r="1" spans="1:2" ht="23.25" x14ac:dyDescent="0.35">
      <c r="A1" s="381" t="s">
        <v>291</v>
      </c>
      <c r="B1" s="380"/>
    </row>
    <row r="2" spans="1:2" x14ac:dyDescent="0.25">
      <c r="A2" s="380" t="str">
        <f>"Udskrevet d. "</f>
        <v xml:space="preserve">Udskrevet d. </v>
      </c>
      <c r="B2" s="384">
        <f ca="1">TODAY()</f>
        <v>41989</v>
      </c>
    </row>
    <row r="3" spans="1:2" x14ac:dyDescent="0.25">
      <c r="A3" s="380"/>
      <c r="B3" s="380"/>
    </row>
    <row r="4" spans="1:2" x14ac:dyDescent="0.25">
      <c r="A4" s="273" t="s">
        <v>155</v>
      </c>
      <c r="B4" s="380"/>
    </row>
    <row r="5" spans="1:2" x14ac:dyDescent="0.25">
      <c r="A5" s="380" t="s">
        <v>274</v>
      </c>
      <c r="B5" s="380" t="str">
        <f>'Results  meadow grass'!B4:C4</f>
        <v>Extruderet</v>
      </c>
    </row>
    <row r="6" spans="1:2" x14ac:dyDescent="0.25">
      <c r="A6" s="380" t="s">
        <v>160</v>
      </c>
      <c r="B6" s="380" t="s">
        <v>529</v>
      </c>
    </row>
    <row r="7" spans="1:2" x14ac:dyDescent="0.25">
      <c r="A7" s="380" t="s">
        <v>292</v>
      </c>
      <c r="B7" s="380" t="str">
        <f>IF(EngAfstand&gt;0,'Meadow grass'!C29&amp;" km med "&amp;'Meadow grass'!A30,"Nej")</f>
        <v>5 km med Lastbil med forvogn og anhænger</v>
      </c>
    </row>
    <row r="8" spans="1:2" x14ac:dyDescent="0.25">
      <c r="A8" s="380" t="s">
        <v>346</v>
      </c>
      <c r="B8" s="380" t="str">
        <f>'Meadow grass'!A22</f>
        <v>Tractor</v>
      </c>
    </row>
    <row r="9" spans="1:2" x14ac:dyDescent="0.25">
      <c r="A9" s="380" t="s">
        <v>275</v>
      </c>
      <c r="B9" s="380" t="str">
        <f>'Meadow grass'!A38</f>
        <v>Tractor &amp; frontloader</v>
      </c>
    </row>
    <row r="10" spans="1:2" x14ac:dyDescent="0.25">
      <c r="A10" s="380"/>
      <c r="B10" s="380"/>
    </row>
    <row r="11" spans="1:2" x14ac:dyDescent="0.25">
      <c r="A11" s="273" t="s">
        <v>156</v>
      </c>
      <c r="B11" s="380"/>
    </row>
    <row r="12" spans="1:2" x14ac:dyDescent="0.25">
      <c r="A12" s="267" t="s">
        <v>349</v>
      </c>
      <c r="B12" s="446" t="str">
        <f>'Meadow grass'!C5&amp;" ha."</f>
        <v>12 ha.</v>
      </c>
    </row>
    <row r="13" spans="1:2" x14ac:dyDescent="0.25">
      <c r="A13" s="380" t="s">
        <v>156</v>
      </c>
      <c r="B13" s="380" t="str">
        <f>UdbytVaadEng&amp;" Ton/ha."</f>
        <v>69,6 Ton/ha.</v>
      </c>
    </row>
    <row r="14" spans="1:2" x14ac:dyDescent="0.25">
      <c r="A14" s="380" t="s">
        <v>157</v>
      </c>
      <c r="B14" s="385" t="str">
        <f>'Meadow grass'!C7&amp;"%"</f>
        <v>80%</v>
      </c>
    </row>
    <row r="15" spans="1:2" x14ac:dyDescent="0.25">
      <c r="A15" s="380" t="s">
        <v>276</v>
      </c>
      <c r="B15" s="436" t="str">
        <f>'Meadow grass'!C7-VSEng&amp;"%"</f>
        <v>5%</v>
      </c>
    </row>
    <row r="16" spans="1:2" x14ac:dyDescent="0.25">
      <c r="A16" s="380" t="s">
        <v>277</v>
      </c>
      <c r="B16" s="380" t="str">
        <f>IF(ExafEng=TRUE,MetanEngEx,MetanEng)&amp;" L CH4/KgVs"</f>
        <v>254 L CH4/KgVs</v>
      </c>
    </row>
    <row r="17" spans="1:2" x14ac:dyDescent="0.25">
      <c r="A17" s="380" t="s">
        <v>158</v>
      </c>
      <c r="B17" s="410" t="str">
        <f>IF(ExafEng=TRUE,(_xlfn.FLOOR.PRECISE(MetanEngEx*'Meadow grass'!C6*VSEng*0.01,1))&amp;" m3 CH4/ha",(_xlfn.FLOOR.PRECISE(MetanEng*'Meadow grass'!C6*VSEng*0.01,1))&amp;" m3 CH4/ha")</f>
        <v>1104 m3 CH4/ha</v>
      </c>
    </row>
    <row r="18" spans="1:2" x14ac:dyDescent="0.25">
      <c r="A18" s="380"/>
      <c r="B18" s="383" t="s">
        <v>312</v>
      </c>
    </row>
    <row r="19" spans="1:2" x14ac:dyDescent="0.25">
      <c r="A19" s="380"/>
      <c r="B19" s="380"/>
    </row>
    <row r="20" spans="1:2" x14ac:dyDescent="0.25">
      <c r="A20" s="273" t="s">
        <v>154</v>
      </c>
      <c r="B20" s="380"/>
    </row>
    <row r="21" spans="1:2" x14ac:dyDescent="0.25">
      <c r="A21" s="380" t="s">
        <v>281</v>
      </c>
      <c r="B21" s="380" t="str">
        <f>CEILING('Meadow grass'!G4,1)&amp;" stk rundballer"</f>
        <v>249 stk rundballer</v>
      </c>
    </row>
    <row r="22" spans="1:2" x14ac:dyDescent="0.25">
      <c r="A22" s="380" t="s">
        <v>295</v>
      </c>
      <c r="B22" s="380" t="str">
        <f>IF('Meadow grass'!AG7=3,"Ingen lagring/lagring i det fri",(IF('Meadow grass'!AG7=2,"Baller under presenning","Pomi tubewrap")))</f>
        <v>Ingen lagring/lagring i det fri</v>
      </c>
    </row>
    <row r="23" spans="1:2" x14ac:dyDescent="0.25">
      <c r="A23" s="380"/>
      <c r="B23" s="383" t="s">
        <v>296</v>
      </c>
    </row>
    <row r="24" spans="1:2" x14ac:dyDescent="0.25">
      <c r="A24" s="380"/>
      <c r="B24" s="380"/>
    </row>
    <row r="25" spans="1:2" x14ac:dyDescent="0.25">
      <c r="A25" s="273" t="s">
        <v>153</v>
      </c>
      <c r="B25" s="380"/>
    </row>
    <row r="26" spans="1:2" x14ac:dyDescent="0.25">
      <c r="A26" s="380" t="str">
        <f>IF(ExafEng=TRUE,"Ekstrudering","Ikke valgt")</f>
        <v>Ekstrudering</v>
      </c>
      <c r="B26" s="380"/>
    </row>
    <row r="27" spans="1:2" x14ac:dyDescent="0.25">
      <c r="A27" s="380" t="str">
        <f>IF(ExafEng=TRUE,"Procentvis udnyttelse af maskine","")</f>
        <v>Procentvis udnyttelse af maskine</v>
      </c>
      <c r="B27" s="380" t="str">
        <f>IF(ExafEng=TRUE,_xlfn.FLOOR.PRECISE(ExEngUdnytKap,1)&amp;" % til enggræs og "&amp;_xlfn.FLOOR.PRECISE('Meadow grass'!M9)&amp;"  % til andet","")</f>
        <v>0 % til enggræs og 48  % til andet</v>
      </c>
    </row>
    <row r="28" spans="1:2" x14ac:dyDescent="0.25">
      <c r="A28" s="380"/>
      <c r="B28" s="380"/>
    </row>
    <row r="29" spans="1:2" x14ac:dyDescent="0.25">
      <c r="A29" s="273" t="s">
        <v>225</v>
      </c>
      <c r="B29" s="380"/>
    </row>
    <row r="30" spans="1:2" x14ac:dyDescent="0.25">
      <c r="A30" s="267" t="s">
        <v>345</v>
      </c>
      <c r="B30" s="380" t="str">
        <f>_xlfn.FLOOR.PRECISE('Results  meadow grass'!E16)&amp;" øre/kgTS"</f>
        <v>-84 øre/kgTS</v>
      </c>
    </row>
    <row r="31" spans="1:2" x14ac:dyDescent="0.25">
      <c r="B31" s="380"/>
    </row>
    <row r="32" spans="1:2" x14ac:dyDescent="0.25">
      <c r="A32" s="380" t="s">
        <v>284</v>
      </c>
      <c r="B32" s="402">
        <f>'Results  meadow grass'!B17</f>
        <v>-46593.085460249982</v>
      </c>
    </row>
    <row r="33" spans="1:2" x14ac:dyDescent="0.25">
      <c r="A33" s="380" t="s">
        <v>279</v>
      </c>
      <c r="B33" s="402">
        <f>'Results  meadow grass'!B27</f>
        <v>75442.572</v>
      </c>
    </row>
    <row r="34" spans="1:2" ht="15.75" thickBot="1" x14ac:dyDescent="0.3">
      <c r="A34" s="380" t="s">
        <v>267</v>
      </c>
      <c r="B34" s="403">
        <f>'Results  meadow grass'!B29</f>
        <v>28849.486539750018</v>
      </c>
    </row>
    <row r="35" spans="1:2" ht="15.75" thickTop="1" x14ac:dyDescent="0.25">
      <c r="A35" s="380"/>
      <c r="B35" s="380"/>
    </row>
  </sheetData>
  <pageMargins left="0.7" right="0.7" top="0.75" bottom="0.75" header="0.3" footer="0.3"/>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H107"/>
  <sheetViews>
    <sheetView workbookViewId="0">
      <selection activeCell="J3" sqref="J3"/>
    </sheetView>
  </sheetViews>
  <sheetFormatPr defaultRowHeight="15" x14ac:dyDescent="0.25"/>
  <cols>
    <col min="1" max="1" width="24.28515625" customWidth="1"/>
  </cols>
  <sheetData>
    <row r="1" spans="1:6" ht="21" x14ac:dyDescent="0.35">
      <c r="A1" s="413" t="s">
        <v>320</v>
      </c>
      <c r="D1" t="s">
        <v>344</v>
      </c>
    </row>
    <row r="4" spans="1:6" x14ac:dyDescent="0.25">
      <c r="A4" t="s">
        <v>318</v>
      </c>
    </row>
    <row r="6" spans="1:6" x14ac:dyDescent="0.25">
      <c r="A6" t="s">
        <v>319</v>
      </c>
    </row>
    <row r="10" spans="1:6" ht="18.75" x14ac:dyDescent="0.3">
      <c r="A10" s="414" t="s">
        <v>321</v>
      </c>
      <c r="B10" s="415"/>
      <c r="C10" s="415"/>
      <c r="D10" s="415"/>
      <c r="E10" s="415"/>
      <c r="F10" s="415"/>
    </row>
    <row r="11" spans="1:6" x14ac:dyDescent="0.25">
      <c r="A11" s="415"/>
      <c r="B11" s="415"/>
      <c r="C11" s="415"/>
      <c r="D11" s="415"/>
      <c r="E11" s="415"/>
      <c r="F11" s="415"/>
    </row>
    <row r="12" spans="1:6" x14ac:dyDescent="0.25">
      <c r="A12" s="416" t="s">
        <v>167</v>
      </c>
      <c r="B12" s="417">
        <f>'Meadow grass'!C5</f>
        <v>12</v>
      </c>
      <c r="C12" s="417" t="str">
        <f>'Meadow grass'!D5</f>
        <v>ha.</v>
      </c>
      <c r="D12" s="415"/>
      <c r="E12" s="415"/>
      <c r="F12" s="415"/>
    </row>
    <row r="13" spans="1:6" x14ac:dyDescent="0.25">
      <c r="A13" s="415" t="s">
        <v>156</v>
      </c>
      <c r="B13" s="417">
        <f>'Meadow grass'!C6</f>
        <v>5.8</v>
      </c>
      <c r="C13" s="417" t="str">
        <f>'Meadow grass'!D6</f>
        <v>ton/ha.</v>
      </c>
      <c r="D13" s="415"/>
      <c r="E13" s="415"/>
      <c r="F13" s="415"/>
    </row>
    <row r="14" spans="1:6" x14ac:dyDescent="0.25">
      <c r="A14" s="415" t="s">
        <v>170</v>
      </c>
      <c r="B14" s="417">
        <f>'Meadow grass'!C7</f>
        <v>80</v>
      </c>
      <c r="C14" s="417" t="str">
        <f>'Meadow grass'!D7</f>
        <v>%</v>
      </c>
      <c r="D14" s="415"/>
      <c r="E14" s="415"/>
      <c r="F14" s="415"/>
    </row>
    <row r="15" spans="1:6" x14ac:dyDescent="0.25">
      <c r="A15" s="415" t="s">
        <v>171</v>
      </c>
      <c r="B15" s="417">
        <f>'Meadow grass'!C8</f>
        <v>75</v>
      </c>
      <c r="C15" s="417" t="str">
        <f>'Meadow grass'!D8</f>
        <v>%</v>
      </c>
      <c r="D15" s="415"/>
      <c r="E15" s="415"/>
      <c r="F15" s="415"/>
    </row>
    <row r="16" spans="1:6" x14ac:dyDescent="0.25">
      <c r="A16" s="415" t="s">
        <v>315</v>
      </c>
      <c r="B16" s="418">
        <f>'Meadow grass'!C9</f>
        <v>0.28000000000000003</v>
      </c>
      <c r="C16" s="417" t="str">
        <f>'Meadow grass'!D9</f>
        <v>ton/bale</v>
      </c>
      <c r="D16" s="415"/>
      <c r="E16" s="415"/>
      <c r="F16" s="415"/>
    </row>
    <row r="17" spans="1:8" x14ac:dyDescent="0.25">
      <c r="A17" s="415" t="s">
        <v>292</v>
      </c>
      <c r="B17" s="415" t="str">
        <f>IF(EngAfstand&gt;0,'Meadow grass'!C29&amp;" km med "&amp;'Meadow grass'!A30,"Nej")</f>
        <v>5 km med Lastbil med forvogn og anhænger</v>
      </c>
      <c r="C17" s="415"/>
      <c r="D17" s="415"/>
      <c r="E17" s="415"/>
      <c r="F17" s="415"/>
    </row>
    <row r="18" spans="1:8" x14ac:dyDescent="0.25">
      <c r="A18" s="415"/>
      <c r="B18" s="415"/>
      <c r="C18" s="415"/>
      <c r="D18" s="415"/>
      <c r="E18" s="415"/>
      <c r="F18" s="415"/>
    </row>
    <row r="19" spans="1:8" x14ac:dyDescent="0.25">
      <c r="A19" s="415" t="s">
        <v>266</v>
      </c>
      <c r="B19" s="415" t="str">
        <f>IF('Meadow grass'!AG3=1,"fugtig eng","våd eng")</f>
        <v>fugtig eng</v>
      </c>
      <c r="C19" s="415"/>
      <c r="D19" s="415"/>
      <c r="E19" s="415"/>
      <c r="F19" s="415"/>
    </row>
    <row r="20" spans="1:8" x14ac:dyDescent="0.25">
      <c r="A20" s="415" t="s">
        <v>154</v>
      </c>
      <c r="B20" s="415" t="str">
        <f>IF('Meadow grass'!AG7=3,"Ingen lagring/lagring i det fri",(IF('Meadow grass'!AG7=2,"Baller under presenning","Pomi tubewrap")))</f>
        <v>Ingen lagring/lagring i det fri</v>
      </c>
      <c r="C20" s="415"/>
      <c r="D20" s="415"/>
      <c r="E20" s="415"/>
      <c r="F20" s="415"/>
    </row>
    <row r="23" spans="1:8" ht="18.75" x14ac:dyDescent="0.3">
      <c r="A23" s="412" t="s">
        <v>327</v>
      </c>
      <c r="B23" s="412"/>
      <c r="C23" s="412"/>
      <c r="D23" s="412"/>
      <c r="E23" s="412"/>
      <c r="F23" s="412"/>
      <c r="G23" s="412"/>
      <c r="H23" s="412"/>
    </row>
    <row r="24" spans="1:8" ht="18.75" x14ac:dyDescent="0.3">
      <c r="A24" s="412" t="s">
        <v>322</v>
      </c>
      <c r="B24" s="412"/>
      <c r="C24" s="412"/>
      <c r="D24" s="412"/>
      <c r="E24" s="412"/>
      <c r="F24" s="412"/>
      <c r="G24" s="412"/>
      <c r="H24" s="412"/>
    </row>
    <row r="25" spans="1:8" ht="18.75" x14ac:dyDescent="0.3">
      <c r="A25" s="412"/>
      <c r="B25" s="412"/>
      <c r="C25" s="412"/>
      <c r="D25" s="412"/>
      <c r="E25" s="412"/>
      <c r="F25" s="412"/>
      <c r="G25" s="412"/>
      <c r="H25" s="412"/>
    </row>
    <row r="26" spans="1:8" x14ac:dyDescent="0.25">
      <c r="A26" t="s">
        <v>323</v>
      </c>
      <c r="B26">
        <f>0.55*1000</f>
        <v>550</v>
      </c>
      <c r="C26" t="s">
        <v>324</v>
      </c>
    </row>
    <row r="27" spans="1:8" x14ac:dyDescent="0.25">
      <c r="A27" t="s">
        <v>323</v>
      </c>
      <c r="B27" s="53">
        <f>B26*B14/100</f>
        <v>440</v>
      </c>
      <c r="C27" t="s">
        <v>120</v>
      </c>
    </row>
    <row r="29" spans="1:8" x14ac:dyDescent="0.25">
      <c r="A29" t="s">
        <v>325</v>
      </c>
      <c r="B29" t="s">
        <v>120</v>
      </c>
    </row>
    <row r="30" spans="1:8" x14ac:dyDescent="0.25">
      <c r="A30">
        <v>1</v>
      </c>
      <c r="B30">
        <v>2067</v>
      </c>
    </row>
    <row r="31" spans="1:8" x14ac:dyDescent="0.25">
      <c r="A31">
        <v>3</v>
      </c>
      <c r="B31">
        <v>689</v>
      </c>
    </row>
    <row r="32" spans="1:8" x14ac:dyDescent="0.25">
      <c r="A32">
        <v>5</v>
      </c>
      <c r="B32">
        <v>413</v>
      </c>
    </row>
    <row r="33" spans="1:8" x14ac:dyDescent="0.25">
      <c r="A33">
        <v>7</v>
      </c>
      <c r="B33">
        <v>295</v>
      </c>
    </row>
    <row r="34" spans="1:8" x14ac:dyDescent="0.25">
      <c r="A34">
        <v>10</v>
      </c>
      <c r="B34">
        <v>207</v>
      </c>
    </row>
    <row r="36" spans="1:8" x14ac:dyDescent="0.25">
      <c r="A36" t="s">
        <v>326</v>
      </c>
      <c r="B36" s="419">
        <f>2069*B27^-1</f>
        <v>4.7022727272727272</v>
      </c>
      <c r="C36" t="s">
        <v>166</v>
      </c>
    </row>
    <row r="45" spans="1:8" ht="18.75" x14ac:dyDescent="0.3">
      <c r="A45" s="412" t="s">
        <v>328</v>
      </c>
      <c r="B45" s="412"/>
      <c r="C45" s="412"/>
      <c r="D45" s="412"/>
      <c r="E45" s="412"/>
      <c r="F45" s="412"/>
      <c r="G45" s="412"/>
      <c r="H45" s="412"/>
    </row>
    <row r="46" spans="1:8" ht="18.75" x14ac:dyDescent="0.3">
      <c r="A46" s="412" t="s">
        <v>322</v>
      </c>
      <c r="B46" s="412"/>
      <c r="C46" s="412"/>
      <c r="D46" s="412"/>
      <c r="E46" s="412"/>
      <c r="F46" s="412"/>
      <c r="G46" s="412"/>
      <c r="H46" s="412"/>
    </row>
    <row r="48" spans="1:8" x14ac:dyDescent="0.25">
      <c r="A48" t="s">
        <v>325</v>
      </c>
      <c r="B48" t="s">
        <v>120</v>
      </c>
    </row>
    <row r="49" spans="1:3" x14ac:dyDescent="0.25">
      <c r="A49">
        <v>1</v>
      </c>
      <c r="B49">
        <v>2114</v>
      </c>
    </row>
    <row r="50" spans="1:3" x14ac:dyDescent="0.25">
      <c r="A50">
        <v>3</v>
      </c>
      <c r="B50">
        <v>736</v>
      </c>
    </row>
    <row r="51" spans="1:3" x14ac:dyDescent="0.25">
      <c r="A51">
        <v>5</v>
      </c>
      <c r="B51">
        <v>460</v>
      </c>
    </row>
    <row r="52" spans="1:3" x14ac:dyDescent="0.25">
      <c r="A52">
        <v>7</v>
      </c>
      <c r="B52">
        <v>342</v>
      </c>
    </row>
    <row r="53" spans="1:3" x14ac:dyDescent="0.25">
      <c r="A53">
        <v>10</v>
      </c>
      <c r="B53">
        <v>253</v>
      </c>
    </row>
    <row r="56" spans="1:3" x14ac:dyDescent="0.25">
      <c r="A56" t="s">
        <v>326</v>
      </c>
      <c r="B56" s="419">
        <f>3821.2*440^-1.08</f>
        <v>5.3366765127726392</v>
      </c>
      <c r="C56" t="s">
        <v>166</v>
      </c>
    </row>
    <row r="66" spans="1:3" ht="18.75" x14ac:dyDescent="0.3">
      <c r="A66" s="412" t="s">
        <v>330</v>
      </c>
    </row>
    <row r="67" spans="1:3" ht="18.75" x14ac:dyDescent="0.3">
      <c r="A67" s="412" t="s">
        <v>329</v>
      </c>
    </row>
    <row r="69" spans="1:3" x14ac:dyDescent="0.25">
      <c r="A69" t="s">
        <v>331</v>
      </c>
      <c r="B69" t="s">
        <v>120</v>
      </c>
    </row>
    <row r="70" spans="1:3" x14ac:dyDescent="0.25">
      <c r="A70">
        <v>12</v>
      </c>
      <c r="B70">
        <v>356</v>
      </c>
    </row>
    <row r="71" spans="1:3" x14ac:dyDescent="0.25">
      <c r="A71">
        <v>15</v>
      </c>
      <c r="B71">
        <v>374</v>
      </c>
    </row>
    <row r="72" spans="1:3" x14ac:dyDescent="0.25">
      <c r="A72">
        <v>17</v>
      </c>
      <c r="B72">
        <v>385</v>
      </c>
    </row>
    <row r="73" spans="1:3" x14ac:dyDescent="0.25">
      <c r="A73">
        <v>20</v>
      </c>
      <c r="B73">
        <v>403</v>
      </c>
    </row>
    <row r="74" spans="1:3" x14ac:dyDescent="0.25">
      <c r="A74">
        <v>25</v>
      </c>
      <c r="B74">
        <v>432</v>
      </c>
    </row>
    <row r="75" spans="1:3" x14ac:dyDescent="0.25">
      <c r="A75">
        <v>30</v>
      </c>
      <c r="B75">
        <v>455</v>
      </c>
    </row>
    <row r="77" spans="1:3" x14ac:dyDescent="0.25">
      <c r="A77" s="420" t="s">
        <v>342</v>
      </c>
      <c r="B77" s="421">
        <f>0.1796*B27-52.17</f>
        <v>26.853999999999999</v>
      </c>
      <c r="C77" s="420" t="s">
        <v>111</v>
      </c>
    </row>
    <row r="86" spans="1:6" ht="18.75" x14ac:dyDescent="0.3">
      <c r="A86" s="412" t="s">
        <v>332</v>
      </c>
      <c r="B86" s="412"/>
      <c r="C86" s="412"/>
      <c r="D86" s="412"/>
      <c r="E86" s="412"/>
      <c r="F86" s="412"/>
    </row>
    <row r="88" spans="1:6" x14ac:dyDescent="0.25">
      <c r="B88" t="s">
        <v>333</v>
      </c>
      <c r="C88" t="s">
        <v>334</v>
      </c>
    </row>
    <row r="89" spans="1:6" x14ac:dyDescent="0.25">
      <c r="A89" t="s">
        <v>331</v>
      </c>
      <c r="B89" t="s">
        <v>120</v>
      </c>
      <c r="C89" t="s">
        <v>120</v>
      </c>
    </row>
    <row r="90" spans="1:6" x14ac:dyDescent="0.25">
      <c r="A90">
        <v>17</v>
      </c>
      <c r="B90">
        <v>385</v>
      </c>
      <c r="C90">
        <v>431</v>
      </c>
    </row>
    <row r="91" spans="1:6" x14ac:dyDescent="0.25">
      <c r="A91">
        <v>20</v>
      </c>
      <c r="B91">
        <v>403</v>
      </c>
      <c r="C91">
        <v>437</v>
      </c>
    </row>
    <row r="92" spans="1:6" x14ac:dyDescent="0.25">
      <c r="A92">
        <v>25</v>
      </c>
      <c r="B92">
        <v>432</v>
      </c>
      <c r="C92">
        <v>447</v>
      </c>
    </row>
    <row r="93" spans="1:6" x14ac:dyDescent="0.25">
      <c r="A93">
        <v>30</v>
      </c>
      <c r="B93">
        <v>455</v>
      </c>
      <c r="C93">
        <v>454</v>
      </c>
    </row>
    <row r="94" spans="1:6" x14ac:dyDescent="0.25">
      <c r="A94">
        <v>35</v>
      </c>
      <c r="B94">
        <v>484</v>
      </c>
      <c r="C94">
        <v>466</v>
      </c>
    </row>
    <row r="95" spans="1:6" x14ac:dyDescent="0.25">
      <c r="A95">
        <v>40</v>
      </c>
      <c r="B95">
        <v>514</v>
      </c>
      <c r="C95">
        <v>474</v>
      </c>
    </row>
    <row r="98" spans="1:5" x14ac:dyDescent="0.25">
      <c r="A98" s="420" t="s">
        <v>335</v>
      </c>
      <c r="B98" s="421">
        <f>0.5326*B27-212.63</f>
        <v>21.713999999999999</v>
      </c>
      <c r="C98" s="420" t="s">
        <v>111</v>
      </c>
    </row>
    <row r="99" spans="1:5" x14ac:dyDescent="0.25">
      <c r="A99" t="s">
        <v>336</v>
      </c>
    </row>
    <row r="101" spans="1:5" x14ac:dyDescent="0.25">
      <c r="A101" t="s">
        <v>343</v>
      </c>
    </row>
    <row r="103" spans="1:5" x14ac:dyDescent="0.25">
      <c r="A103" t="s">
        <v>337</v>
      </c>
      <c r="B103" t="s">
        <v>338</v>
      </c>
      <c r="C103" t="s">
        <v>339</v>
      </c>
    </row>
    <row r="104" spans="1:5" x14ac:dyDescent="0.25">
      <c r="A104">
        <f>5.52-1.87</f>
        <v>3.6499999999999995</v>
      </c>
      <c r="B104">
        <f>399.41-291.92</f>
        <v>107.49000000000001</v>
      </c>
      <c r="C104" s="419">
        <f>B104/A104</f>
        <v>29.449315068493156</v>
      </c>
    </row>
    <row r="106" spans="1:5" x14ac:dyDescent="0.25">
      <c r="A106" s="420" t="s">
        <v>340</v>
      </c>
      <c r="B106" s="420"/>
      <c r="C106" s="420"/>
      <c r="D106" s="420"/>
      <c r="E106" s="420"/>
    </row>
    <row r="107" spans="1:5" x14ac:dyDescent="0.25">
      <c r="A107" t="s">
        <v>341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1">
    <tabColor theme="0" tint="-0.14999847407452621"/>
  </sheetPr>
  <dimension ref="A1:AJ55"/>
  <sheetViews>
    <sheetView tabSelected="1" workbookViewId="0">
      <selection activeCell="I14" sqref="I14"/>
    </sheetView>
  </sheetViews>
  <sheetFormatPr defaultRowHeight="15" x14ac:dyDescent="0.25"/>
  <cols>
    <col min="1" max="1" width="9.140625" style="216"/>
    <col min="2" max="2" width="39.42578125" style="216" customWidth="1"/>
    <col min="3" max="3" width="15.28515625" style="216" customWidth="1"/>
    <col min="4" max="4" width="9" style="271" customWidth="1"/>
    <col min="5" max="5" width="13.85546875" style="216" customWidth="1"/>
    <col min="6" max="6" width="9.140625" style="216"/>
    <col min="7" max="7" width="30.5703125" style="216" customWidth="1"/>
    <col min="8" max="8" width="14.42578125" style="2" customWidth="1"/>
    <col min="9" max="9" width="9.28515625" style="271" customWidth="1"/>
    <col min="10" max="10" width="9.28515625" style="216" customWidth="1"/>
    <col min="11" max="11" width="9.85546875" style="216" customWidth="1"/>
    <col min="12" max="12" width="48.5703125" style="216" customWidth="1"/>
    <col min="13" max="13" width="9.28515625" style="2" customWidth="1"/>
    <col min="14" max="14" width="13.5703125" style="271" customWidth="1"/>
    <col min="15" max="15" width="9.28515625" style="288" customWidth="1"/>
    <col min="16" max="16" width="9.140625" style="216"/>
    <col min="17" max="17" width="37.140625" style="216" bestFit="1" customWidth="1"/>
    <col min="18" max="18" width="7.42578125" style="216" customWidth="1"/>
    <col min="19" max="19" width="12.85546875" style="340" customWidth="1"/>
    <col min="20" max="20" width="12.85546875" style="277" bestFit="1" customWidth="1"/>
    <col min="21" max="21" width="11.28515625" style="288" customWidth="1"/>
    <col min="22" max="22" width="11.28515625" style="216" customWidth="1"/>
    <col min="23" max="23" width="40.42578125" style="216" bestFit="1" customWidth="1"/>
    <col min="24" max="24" width="13.5703125" style="216" customWidth="1"/>
    <col min="25" max="25" width="9.140625" style="271"/>
    <col min="26" max="26" width="9.140625" style="216"/>
    <col min="27" max="27" width="11.28515625" style="216" bestFit="1" customWidth="1"/>
    <col min="28" max="28" width="20.140625" style="216" customWidth="1"/>
    <col min="29" max="29" width="9.28515625" style="216" bestFit="1" customWidth="1"/>
    <col min="30" max="30" width="15.85546875" style="216" bestFit="1" customWidth="1"/>
    <col min="31" max="31" width="37.85546875" style="216" bestFit="1" customWidth="1"/>
    <col min="32" max="32" width="37.140625" style="216" bestFit="1" customWidth="1"/>
    <col min="33" max="33" width="15.7109375" style="216" bestFit="1" customWidth="1"/>
    <col min="34" max="34" width="9.28515625" style="216" bestFit="1" customWidth="1"/>
    <col min="35" max="16384" width="9.140625" style="216"/>
  </cols>
  <sheetData>
    <row r="1" spans="1:36" x14ac:dyDescent="0.25">
      <c r="A1" s="220" t="s">
        <v>0</v>
      </c>
    </row>
    <row r="2" spans="1:36" x14ac:dyDescent="0.25">
      <c r="Q2" s="286"/>
      <c r="R2" s="286"/>
      <c r="S2" s="358"/>
      <c r="T2" s="348"/>
      <c r="U2" s="289"/>
    </row>
    <row r="3" spans="1:36" x14ac:dyDescent="0.25">
      <c r="B3" s="269" t="s">
        <v>1</v>
      </c>
      <c r="C3" s="267"/>
      <c r="D3" s="272"/>
      <c r="E3" s="267"/>
      <c r="G3" s="269" t="s">
        <v>544</v>
      </c>
      <c r="H3" s="366"/>
      <c r="I3" s="272"/>
      <c r="J3" s="267"/>
      <c r="L3" s="269" t="s">
        <v>6</v>
      </c>
      <c r="M3" s="270"/>
      <c r="N3" s="272"/>
      <c r="O3" s="290"/>
      <c r="Q3" s="269" t="s">
        <v>153</v>
      </c>
      <c r="R3" s="269"/>
      <c r="S3" s="287"/>
      <c r="T3" s="276"/>
      <c r="U3" s="290"/>
      <c r="W3" s="1" t="s">
        <v>17</v>
      </c>
      <c r="X3" s="1"/>
      <c r="AB3" s="298" t="s">
        <v>52</v>
      </c>
      <c r="AC3" s="277"/>
      <c r="AD3" s="277"/>
      <c r="AE3" s="277"/>
      <c r="AF3" s="277"/>
      <c r="AG3" s="277"/>
      <c r="AH3" s="277"/>
      <c r="AI3" s="277"/>
      <c r="AJ3" s="277"/>
    </row>
    <row r="4" spans="1:36" x14ac:dyDescent="0.25">
      <c r="B4" s="267"/>
      <c r="C4" s="267"/>
      <c r="D4" s="272"/>
      <c r="E4" s="267"/>
      <c r="G4" s="267"/>
      <c r="H4" s="270"/>
      <c r="I4" s="272"/>
      <c r="J4" s="267"/>
      <c r="L4" s="267"/>
      <c r="M4" s="270"/>
      <c r="N4" s="272"/>
      <c r="O4" s="290"/>
      <c r="Q4" s="267" t="s">
        <v>51</v>
      </c>
      <c r="R4" s="267"/>
      <c r="S4" s="364">
        <v>0.06</v>
      </c>
      <c r="T4" s="282">
        <f>Rente</f>
        <v>5.5E-2</v>
      </c>
      <c r="U4" s="291"/>
      <c r="V4" s="52"/>
      <c r="AB4" s="277"/>
      <c r="AC4" s="277"/>
      <c r="AD4" s="277"/>
      <c r="AE4" s="277"/>
      <c r="AF4" s="277"/>
      <c r="AG4" s="277"/>
      <c r="AH4" s="277"/>
      <c r="AI4" s="277"/>
      <c r="AJ4" s="277"/>
    </row>
    <row r="5" spans="1:36" x14ac:dyDescent="0.25">
      <c r="B5" s="268" t="s">
        <v>125</v>
      </c>
      <c r="C5" s="267" t="s">
        <v>548</v>
      </c>
      <c r="D5" s="272" t="s">
        <v>547</v>
      </c>
      <c r="E5" s="267"/>
      <c r="G5" s="268" t="s">
        <v>545</v>
      </c>
      <c r="H5" s="270" t="s">
        <v>199</v>
      </c>
      <c r="I5" s="272" t="s">
        <v>273</v>
      </c>
      <c r="J5" s="267"/>
      <c r="L5" s="267"/>
      <c r="M5" s="270" t="s">
        <v>297</v>
      </c>
      <c r="N5" s="272" t="s">
        <v>298</v>
      </c>
      <c r="O5" s="290"/>
      <c r="Q5" s="267" t="s">
        <v>180</v>
      </c>
      <c r="R5" s="267"/>
      <c r="S5" s="364">
        <v>0.1</v>
      </c>
      <c r="T5" s="282">
        <v>0.1</v>
      </c>
      <c r="U5" s="291"/>
      <c r="V5" s="52"/>
      <c r="W5" s="217" t="s">
        <v>257</v>
      </c>
      <c r="X5" s="217">
        <v>0.6</v>
      </c>
      <c r="Y5" s="371">
        <v>0.6</v>
      </c>
      <c r="Z5" s="217" t="s">
        <v>255</v>
      </c>
      <c r="AB5" s="277"/>
      <c r="AC5" s="277"/>
      <c r="AD5" s="277"/>
      <c r="AE5" s="277"/>
      <c r="AF5" s="277"/>
      <c r="AG5" s="277"/>
      <c r="AH5" s="277"/>
      <c r="AI5" s="277"/>
      <c r="AJ5" s="277"/>
    </row>
    <row r="6" spans="1:36" x14ac:dyDescent="0.25">
      <c r="B6" s="273" t="s">
        <v>193</v>
      </c>
      <c r="C6" s="267">
        <v>-550</v>
      </c>
      <c r="D6" s="272">
        <v>-550</v>
      </c>
      <c r="E6" s="267" t="s">
        <v>169</v>
      </c>
      <c r="G6" s="273" t="s">
        <v>546</v>
      </c>
      <c r="H6" s="270">
        <v>-625</v>
      </c>
      <c r="I6" s="272">
        <v>-625</v>
      </c>
      <c r="J6" s="267" t="s">
        <v>169</v>
      </c>
      <c r="L6" s="270" t="s">
        <v>228</v>
      </c>
      <c r="M6" s="270">
        <v>-1560</v>
      </c>
      <c r="N6" s="272">
        <v>-1560</v>
      </c>
      <c r="O6" s="290" t="s">
        <v>169</v>
      </c>
      <c r="Q6" s="267"/>
      <c r="R6" s="267"/>
      <c r="S6" s="359"/>
      <c r="T6" s="276"/>
      <c r="U6" s="290"/>
      <c r="W6" s="217" t="s">
        <v>258</v>
      </c>
      <c r="X6" s="217">
        <v>10</v>
      </c>
      <c r="Y6" s="371">
        <v>10</v>
      </c>
      <c r="Z6" s="217" t="s">
        <v>256</v>
      </c>
      <c r="AB6" s="299" t="s">
        <v>60</v>
      </c>
      <c r="AC6" s="299" t="s">
        <v>55</v>
      </c>
      <c r="AD6" s="299" t="s">
        <v>56</v>
      </c>
      <c r="AE6" s="299" t="s">
        <v>58</v>
      </c>
      <c r="AF6" s="299" t="s">
        <v>59</v>
      </c>
      <c r="AG6" s="299" t="s">
        <v>57</v>
      </c>
      <c r="AH6" s="300" t="s">
        <v>61</v>
      </c>
      <c r="AI6" s="277"/>
      <c r="AJ6" s="277"/>
    </row>
    <row r="7" spans="1:36" x14ac:dyDescent="0.25">
      <c r="B7" s="267" t="s">
        <v>207</v>
      </c>
      <c r="C7" s="270">
        <v>24</v>
      </c>
      <c r="D7" s="272">
        <v>24</v>
      </c>
      <c r="E7" s="270" t="s">
        <v>200</v>
      </c>
      <c r="G7" s="267" t="s">
        <v>211</v>
      </c>
      <c r="H7" s="367">
        <f>I7</f>
        <v>23</v>
      </c>
      <c r="I7" s="272">
        <f>AF10</f>
        <v>23</v>
      </c>
      <c r="J7" s="267" t="s">
        <v>268</v>
      </c>
      <c r="L7" s="270" t="s">
        <v>229</v>
      </c>
      <c r="M7" s="270">
        <v>5.8</v>
      </c>
      <c r="N7" s="272">
        <v>5.8</v>
      </c>
      <c r="O7" s="290" t="s">
        <v>226</v>
      </c>
      <c r="Q7" s="283" t="s">
        <v>174</v>
      </c>
      <c r="R7" s="283"/>
      <c r="S7" s="360"/>
      <c r="T7" s="276"/>
      <c r="U7" s="292"/>
      <c r="V7" s="2"/>
      <c r="W7" s="217" t="s">
        <v>18</v>
      </c>
      <c r="X7" s="374">
        <v>0.4</v>
      </c>
      <c r="Y7" s="372">
        <v>0.4</v>
      </c>
      <c r="Z7" s="218"/>
      <c r="AB7" s="473" t="s">
        <v>9</v>
      </c>
      <c r="AC7" s="475">
        <v>280</v>
      </c>
      <c r="AD7" s="299">
        <v>12</v>
      </c>
      <c r="AE7" s="299">
        <v>63</v>
      </c>
      <c r="AF7" s="475">
        <f>AVERAGE(AE7:AE9)</f>
        <v>58</v>
      </c>
      <c r="AG7" s="299">
        <v>34</v>
      </c>
      <c r="AH7" s="476">
        <f>AVERAGE(AG7:AG9)</f>
        <v>31.333333333333332</v>
      </c>
      <c r="AI7" s="277"/>
      <c r="AJ7" s="277"/>
    </row>
    <row r="8" spans="1:36" x14ac:dyDescent="0.25">
      <c r="B8" s="267" t="s">
        <v>204</v>
      </c>
      <c r="C8" s="267">
        <v>27</v>
      </c>
      <c r="D8" s="272">
        <v>27</v>
      </c>
      <c r="E8" s="267" t="s">
        <v>201</v>
      </c>
      <c r="G8" s="267" t="s">
        <v>212</v>
      </c>
      <c r="H8" s="367">
        <f>AH10</f>
        <v>12.333333333333334</v>
      </c>
      <c r="I8" s="281">
        <f>AH10</f>
        <v>12.333333333333334</v>
      </c>
      <c r="J8" s="267" t="s">
        <v>268</v>
      </c>
      <c r="L8" s="270" t="s">
        <v>264</v>
      </c>
      <c r="M8" s="347">
        <f>M6/M7</f>
        <v>-268.9655172413793</v>
      </c>
      <c r="N8" s="275">
        <f>N6/N7</f>
        <v>-268.9655172413793</v>
      </c>
      <c r="O8" s="290" t="s">
        <v>189</v>
      </c>
      <c r="Q8" s="284" t="s">
        <v>245</v>
      </c>
      <c r="R8" s="284"/>
      <c r="S8" s="360">
        <v>-3100000</v>
      </c>
      <c r="T8" s="349">
        <v>-3100000</v>
      </c>
      <c r="U8" s="293" t="s">
        <v>159</v>
      </c>
      <c r="V8" s="221"/>
      <c r="W8" s="217" t="s">
        <v>19</v>
      </c>
      <c r="X8" s="374">
        <v>0.5</v>
      </c>
      <c r="Y8" s="372">
        <v>0.5</v>
      </c>
      <c r="Z8" s="218"/>
      <c r="AB8" s="474"/>
      <c r="AC8" s="475"/>
      <c r="AD8" s="299">
        <v>22</v>
      </c>
      <c r="AE8" s="299">
        <v>56</v>
      </c>
      <c r="AF8" s="475"/>
      <c r="AG8" s="299">
        <v>31</v>
      </c>
      <c r="AH8" s="476"/>
      <c r="AI8" s="277"/>
      <c r="AJ8" s="277"/>
    </row>
    <row r="9" spans="1:36" x14ac:dyDescent="0.25">
      <c r="B9" s="267" t="s">
        <v>205</v>
      </c>
      <c r="C9" s="267">
        <v>12</v>
      </c>
      <c r="D9" s="272">
        <v>12</v>
      </c>
      <c r="E9" s="267" t="s">
        <v>201</v>
      </c>
      <c r="G9" s="267" t="s">
        <v>213</v>
      </c>
      <c r="H9" s="367">
        <f>I9</f>
        <v>3.9655172413793105</v>
      </c>
      <c r="I9" s="281">
        <f>I7/5.8</f>
        <v>3.9655172413793105</v>
      </c>
      <c r="J9" s="267" t="s">
        <v>161</v>
      </c>
      <c r="L9" s="267" t="s">
        <v>230</v>
      </c>
      <c r="M9" s="270">
        <v>2.2999999999999998</v>
      </c>
      <c r="N9" s="272">
        <v>2.2999999999999998</v>
      </c>
      <c r="O9" s="290" t="s">
        <v>226</v>
      </c>
      <c r="Q9" s="284" t="s">
        <v>246</v>
      </c>
      <c r="R9" s="284"/>
      <c r="S9" s="360">
        <v>-1250000</v>
      </c>
      <c r="T9" s="349">
        <v>-1250000</v>
      </c>
      <c r="U9" s="293" t="s">
        <v>159</v>
      </c>
      <c r="V9" s="221"/>
      <c r="W9" s="216" t="s">
        <v>259</v>
      </c>
      <c r="X9" s="216">
        <v>1.1100000000000001</v>
      </c>
      <c r="Y9" s="271">
        <v>1.1100000000000001</v>
      </c>
      <c r="Z9" s="216" t="s">
        <v>255</v>
      </c>
      <c r="AB9" s="474"/>
      <c r="AC9" s="475"/>
      <c r="AD9" s="299">
        <v>44</v>
      </c>
      <c r="AE9" s="299">
        <v>55</v>
      </c>
      <c r="AF9" s="475"/>
      <c r="AG9" s="299">
        <v>29</v>
      </c>
      <c r="AH9" s="476"/>
      <c r="AI9" s="277"/>
      <c r="AJ9" s="277"/>
    </row>
    <row r="10" spans="1:36" x14ac:dyDescent="0.25">
      <c r="B10" s="267"/>
      <c r="C10" s="267"/>
      <c r="D10" s="272"/>
      <c r="E10" s="267"/>
      <c r="G10" s="267" t="s">
        <v>214</v>
      </c>
      <c r="H10" s="367">
        <f>I10</f>
        <v>2.1264367816091956</v>
      </c>
      <c r="I10" s="281">
        <f>I8/5.8</f>
        <v>2.1264367816091956</v>
      </c>
      <c r="J10" s="267" t="s">
        <v>161</v>
      </c>
      <c r="L10" s="270" t="s">
        <v>191</v>
      </c>
      <c r="M10" s="270">
        <v>-605</v>
      </c>
      <c r="N10" s="272">
        <v>-605</v>
      </c>
      <c r="O10" s="290" t="s">
        <v>169</v>
      </c>
      <c r="Q10" s="284" t="s">
        <v>247</v>
      </c>
      <c r="R10" s="284"/>
      <c r="S10" s="361">
        <v>-373000</v>
      </c>
      <c r="T10" s="350">
        <v>-373000</v>
      </c>
      <c r="U10" s="293" t="s">
        <v>159</v>
      </c>
      <c r="V10" s="221"/>
      <c r="W10" s="216" t="s">
        <v>260</v>
      </c>
      <c r="X10" s="216">
        <v>0.25</v>
      </c>
      <c r="Y10" s="271">
        <v>0.25</v>
      </c>
      <c r="Z10" s="216" t="s">
        <v>255</v>
      </c>
      <c r="AB10" s="474" t="s">
        <v>53</v>
      </c>
      <c r="AC10" s="475">
        <v>700</v>
      </c>
      <c r="AD10" s="299">
        <v>12</v>
      </c>
      <c r="AE10" s="299">
        <v>25</v>
      </c>
      <c r="AF10" s="475">
        <f>AVERAGE(AE10:AE12)</f>
        <v>23</v>
      </c>
      <c r="AG10" s="299">
        <v>14</v>
      </c>
      <c r="AH10" s="476">
        <f>AVERAGE(AG10:AG12)</f>
        <v>12.333333333333334</v>
      </c>
      <c r="AI10" s="277"/>
      <c r="AJ10" s="277"/>
    </row>
    <row r="11" spans="1:36" ht="15.75" thickBot="1" x14ac:dyDescent="0.3">
      <c r="A11" s="267"/>
      <c r="B11" s="268" t="s">
        <v>124</v>
      </c>
      <c r="C11" s="267"/>
      <c r="D11" s="272"/>
      <c r="E11" s="267"/>
      <c r="G11" s="267" t="s">
        <v>215</v>
      </c>
      <c r="H11" s="367">
        <v>2.7</v>
      </c>
      <c r="I11" s="281">
        <f>AF13</f>
        <v>9</v>
      </c>
      <c r="J11" s="267" t="s">
        <v>270</v>
      </c>
      <c r="L11" s="267" t="s">
        <v>231</v>
      </c>
      <c r="M11" s="270">
        <v>-70</v>
      </c>
      <c r="N11" s="272">
        <v>-70</v>
      </c>
      <c r="O11" s="290" t="s">
        <v>168</v>
      </c>
      <c r="Q11" s="284" t="s">
        <v>248</v>
      </c>
      <c r="R11" s="284"/>
      <c r="S11" s="362">
        <v>-4723000</v>
      </c>
      <c r="T11" s="351">
        <f>SUM(T8:T10)</f>
        <v>-4723000</v>
      </c>
      <c r="U11" s="293" t="s">
        <v>159</v>
      </c>
      <c r="V11" s="221"/>
      <c r="AB11" s="474"/>
      <c r="AC11" s="475"/>
      <c r="AD11" s="299">
        <v>22</v>
      </c>
      <c r="AE11" s="299">
        <v>22</v>
      </c>
      <c r="AF11" s="475"/>
      <c r="AG11" s="299">
        <v>12</v>
      </c>
      <c r="AH11" s="476"/>
      <c r="AI11" s="277"/>
      <c r="AJ11" s="277"/>
    </row>
    <row r="12" spans="1:36" ht="15.75" thickTop="1" x14ac:dyDescent="0.25">
      <c r="A12" s="267"/>
      <c r="B12" s="273" t="s">
        <v>162</v>
      </c>
      <c r="C12" s="267">
        <v>-650</v>
      </c>
      <c r="D12" s="272">
        <v>-650</v>
      </c>
      <c r="E12" s="267" t="s">
        <v>169</v>
      </c>
      <c r="G12" s="267" t="s">
        <v>271</v>
      </c>
      <c r="H12" s="367">
        <v>2.1</v>
      </c>
      <c r="I12" s="281">
        <f>AH13</f>
        <v>7</v>
      </c>
      <c r="J12" s="267" t="s">
        <v>268</v>
      </c>
      <c r="L12" s="267" t="s">
        <v>300</v>
      </c>
      <c r="M12" s="270">
        <v>-930</v>
      </c>
      <c r="N12" s="272"/>
      <c r="O12" s="290" t="s">
        <v>169</v>
      </c>
      <c r="Q12" s="284" t="s">
        <v>254</v>
      </c>
      <c r="R12" s="284"/>
      <c r="S12" s="363">
        <v>-60</v>
      </c>
      <c r="T12" s="349">
        <v>-60</v>
      </c>
      <c r="U12" s="293" t="s">
        <v>184</v>
      </c>
      <c r="V12" s="221"/>
      <c r="AB12" s="474"/>
      <c r="AC12" s="475"/>
      <c r="AD12" s="299">
        <v>44</v>
      </c>
      <c r="AE12" s="299">
        <v>22</v>
      </c>
      <c r="AF12" s="475"/>
      <c r="AG12" s="299">
        <v>11</v>
      </c>
      <c r="AH12" s="476"/>
      <c r="AI12" s="277"/>
      <c r="AJ12" s="277"/>
    </row>
    <row r="13" spans="1:36" x14ac:dyDescent="0.25">
      <c r="A13" s="267"/>
      <c r="B13" s="267" t="s">
        <v>206</v>
      </c>
      <c r="C13" s="270">
        <v>20</v>
      </c>
      <c r="D13" s="272">
        <v>20</v>
      </c>
      <c r="E13" s="270" t="s">
        <v>116</v>
      </c>
      <c r="G13" s="267" t="s">
        <v>272</v>
      </c>
      <c r="H13" s="367">
        <f>LæsFrontBig</f>
        <v>0.60606060606060597</v>
      </c>
      <c r="I13" s="281">
        <f>((40/60)/2)/Bigballevægt</f>
        <v>0.60606060606060597</v>
      </c>
      <c r="J13" s="267" t="s">
        <v>161</v>
      </c>
      <c r="L13" s="267" t="s">
        <v>304</v>
      </c>
      <c r="M13" s="270">
        <v>3.5</v>
      </c>
      <c r="N13" s="272"/>
      <c r="O13" s="290" t="s">
        <v>226</v>
      </c>
      <c r="Q13" s="284" t="s">
        <v>249</v>
      </c>
      <c r="R13" s="284"/>
      <c r="S13" s="363">
        <v>-36</v>
      </c>
      <c r="T13" s="349">
        <f>T12*Energipris</f>
        <v>-36</v>
      </c>
      <c r="U13" s="293" t="s">
        <v>168</v>
      </c>
      <c r="V13" s="221"/>
      <c r="W13" s="1" t="s">
        <v>64</v>
      </c>
      <c r="X13" s="1"/>
      <c r="AB13" s="301" t="s">
        <v>54</v>
      </c>
      <c r="AC13" s="302">
        <v>550</v>
      </c>
      <c r="AD13" s="299">
        <v>24</v>
      </c>
      <c r="AE13" s="299">
        <v>9</v>
      </c>
      <c r="AF13" s="302">
        <f>AE13</f>
        <v>9</v>
      </c>
      <c r="AG13" s="299">
        <v>7</v>
      </c>
      <c r="AH13" s="302">
        <f>AG13</f>
        <v>7</v>
      </c>
      <c r="AI13" s="277"/>
      <c r="AJ13" s="277"/>
    </row>
    <row r="14" spans="1:36" ht="18.75" x14ac:dyDescent="0.35">
      <c r="A14" s="267"/>
      <c r="B14" s="267" t="s">
        <v>115</v>
      </c>
      <c r="C14" s="267">
        <f>F_kapacitet_baller_1mand*Bigballevægt</f>
        <v>11</v>
      </c>
      <c r="D14" s="272">
        <v>11</v>
      </c>
      <c r="E14" s="267" t="s">
        <v>172</v>
      </c>
      <c r="G14" s="267" t="s">
        <v>217</v>
      </c>
      <c r="H14" s="270">
        <v>0.6</v>
      </c>
      <c r="I14" s="272">
        <v>0.6</v>
      </c>
      <c r="J14" s="267" t="s">
        <v>161</v>
      </c>
      <c r="L14" s="267" t="s">
        <v>305</v>
      </c>
      <c r="M14" s="270">
        <v>6.5</v>
      </c>
      <c r="N14" s="272"/>
      <c r="O14" s="290" t="s">
        <v>226</v>
      </c>
      <c r="Q14" s="284" t="s">
        <v>250</v>
      </c>
      <c r="R14" s="284"/>
      <c r="S14" s="363">
        <v>-40</v>
      </c>
      <c r="T14" s="349">
        <v>-40</v>
      </c>
      <c r="U14" s="293" t="s">
        <v>168</v>
      </c>
      <c r="V14" s="221"/>
      <c r="W14" s="216" t="s">
        <v>50</v>
      </c>
      <c r="X14" s="216">
        <v>230</v>
      </c>
      <c r="Y14" s="271">
        <v>230</v>
      </c>
      <c r="Z14" s="216" t="s">
        <v>261</v>
      </c>
    </row>
    <row r="15" spans="1:36" ht="18.75" x14ac:dyDescent="0.35">
      <c r="A15" s="267"/>
      <c r="B15" s="267"/>
      <c r="C15" s="267"/>
      <c r="D15" s="272"/>
      <c r="E15" s="267"/>
      <c r="G15" s="267"/>
      <c r="H15" s="270"/>
      <c r="I15" s="272"/>
      <c r="J15" s="267"/>
      <c r="L15" s="267" t="s">
        <v>301</v>
      </c>
      <c r="M15" s="270">
        <v>-1265</v>
      </c>
      <c r="N15" s="272"/>
      <c r="O15" s="290" t="s">
        <v>169</v>
      </c>
      <c r="Q15" s="284" t="s">
        <v>179</v>
      </c>
      <c r="R15" s="284"/>
      <c r="S15" s="363">
        <f>SUM(S13:S14)</f>
        <v>-76</v>
      </c>
      <c r="T15" s="363">
        <f>SUM(T13:T14)</f>
        <v>-76</v>
      </c>
      <c r="U15" s="293" t="s">
        <v>168</v>
      </c>
      <c r="V15" s="221"/>
      <c r="W15" s="216" t="s">
        <v>112</v>
      </c>
      <c r="X15" s="216">
        <v>277</v>
      </c>
      <c r="Y15" s="271">
        <v>277</v>
      </c>
      <c r="Z15" s="216" t="s">
        <v>261</v>
      </c>
    </row>
    <row r="16" spans="1:36" ht="18.75" x14ac:dyDescent="0.35">
      <c r="A16" s="267"/>
      <c r="B16" s="268" t="s">
        <v>208</v>
      </c>
      <c r="C16" s="267"/>
      <c r="D16" s="272"/>
      <c r="E16" s="267"/>
      <c r="G16" s="273" t="s">
        <v>4</v>
      </c>
      <c r="H16" s="347">
        <v>-800</v>
      </c>
      <c r="I16" s="272">
        <v>-800</v>
      </c>
      <c r="J16" s="280" t="s">
        <v>169</v>
      </c>
      <c r="L16" s="267" t="s">
        <v>302</v>
      </c>
      <c r="M16" s="270">
        <v>5.25</v>
      </c>
      <c r="N16" s="272"/>
      <c r="O16" s="290" t="s">
        <v>226</v>
      </c>
      <c r="Q16" s="284" t="s">
        <v>138</v>
      </c>
      <c r="R16" s="284"/>
      <c r="S16" s="360">
        <v>-50000</v>
      </c>
      <c r="T16" s="349">
        <v>-50000</v>
      </c>
      <c r="U16" s="293" t="s">
        <v>176</v>
      </c>
      <c r="V16" s="221"/>
      <c r="W16" s="216" t="s">
        <v>136</v>
      </c>
      <c r="X16" s="216">
        <v>277</v>
      </c>
      <c r="Y16" s="271">
        <v>277</v>
      </c>
      <c r="Z16" s="216" t="s">
        <v>261</v>
      </c>
    </row>
    <row r="17" spans="1:31" ht="18.75" x14ac:dyDescent="0.35">
      <c r="A17" s="267"/>
      <c r="B17" s="273" t="s">
        <v>192</v>
      </c>
      <c r="C17" s="267">
        <v>-625</v>
      </c>
      <c r="D17" s="272">
        <v>-625</v>
      </c>
      <c r="E17" s="267" t="s">
        <v>169</v>
      </c>
      <c r="G17" s="267" t="s">
        <v>219</v>
      </c>
      <c r="H17" s="367">
        <v>1.95</v>
      </c>
      <c r="I17" s="281">
        <f>24/C8/N29</f>
        <v>3.174603174603174</v>
      </c>
      <c r="J17" s="267" t="s">
        <v>161</v>
      </c>
      <c r="L17" s="267" t="s">
        <v>303</v>
      </c>
      <c r="M17" s="270">
        <v>9.5</v>
      </c>
      <c r="N17" s="272"/>
      <c r="O17" s="290" t="s">
        <v>226</v>
      </c>
      <c r="Q17" s="284" t="s">
        <v>253</v>
      </c>
      <c r="R17" s="284"/>
      <c r="S17" s="287">
        <v>10000</v>
      </c>
      <c r="T17" s="349">
        <v>10000</v>
      </c>
      <c r="U17" s="293" t="s">
        <v>168</v>
      </c>
      <c r="V17" s="222"/>
      <c r="W17" s="216" t="s">
        <v>22</v>
      </c>
      <c r="X17" s="216">
        <v>234</v>
      </c>
      <c r="Y17" s="271">
        <v>234</v>
      </c>
      <c r="Z17" s="216" t="s">
        <v>261</v>
      </c>
      <c r="AB17" s="216">
        <f>Y17*0.23</f>
        <v>53.82</v>
      </c>
      <c r="AC17" s="216">
        <f>Y17+AB17</f>
        <v>287.82</v>
      </c>
      <c r="AE17" s="216" t="s">
        <v>293</v>
      </c>
    </row>
    <row r="18" spans="1:31" ht="18.75" x14ac:dyDescent="0.35">
      <c r="A18" s="267"/>
      <c r="B18" s="267" t="s">
        <v>207</v>
      </c>
      <c r="C18" s="270">
        <v>24</v>
      </c>
      <c r="D18" s="272">
        <v>24</v>
      </c>
      <c r="E18" s="270" t="s">
        <v>202</v>
      </c>
      <c r="G18" s="267" t="s">
        <v>214</v>
      </c>
      <c r="H18" s="367">
        <v>1.95</v>
      </c>
      <c r="I18" s="281">
        <f>24/C8/N29</f>
        <v>3.174603174603174</v>
      </c>
      <c r="J18" s="267" t="s">
        <v>161</v>
      </c>
      <c r="L18" s="267" t="s">
        <v>232</v>
      </c>
      <c r="M18" s="270">
        <v>-80</v>
      </c>
      <c r="N18" s="272">
        <v>-80</v>
      </c>
      <c r="O18" s="290" t="s">
        <v>190</v>
      </c>
      <c r="Q18" s="284" t="s">
        <v>181</v>
      </c>
      <c r="R18" s="284"/>
      <c r="S18" s="360">
        <v>10</v>
      </c>
      <c r="T18" s="349">
        <v>10</v>
      </c>
      <c r="U18" s="293" t="s">
        <v>177</v>
      </c>
      <c r="V18" s="223"/>
      <c r="W18" s="216" t="s">
        <v>262</v>
      </c>
      <c r="X18" s="216">
        <v>254</v>
      </c>
      <c r="Y18" s="271">
        <v>254</v>
      </c>
      <c r="Z18" s="216" t="s">
        <v>261</v>
      </c>
    </row>
    <row r="19" spans="1:31" ht="18.75" x14ac:dyDescent="0.35">
      <c r="A19" s="267"/>
      <c r="B19" s="267" t="s">
        <v>204</v>
      </c>
      <c r="C19" s="267">
        <v>44</v>
      </c>
      <c r="D19" s="272">
        <v>44</v>
      </c>
      <c r="E19" s="267" t="s">
        <v>203</v>
      </c>
      <c r="G19" s="267" t="s">
        <v>220</v>
      </c>
      <c r="H19" s="367">
        <v>0.78</v>
      </c>
      <c r="I19" s="281">
        <f>24/C8/N32</f>
        <v>1.2698412698412698</v>
      </c>
      <c r="J19" s="267" t="s">
        <v>161</v>
      </c>
      <c r="L19" s="267" t="s">
        <v>233</v>
      </c>
      <c r="M19" s="347">
        <v>-145</v>
      </c>
      <c r="N19" s="275">
        <f>F_Storballepresser/Bigballevægt</f>
        <v>-145.45454545454544</v>
      </c>
      <c r="O19" s="296" t="s">
        <v>168</v>
      </c>
      <c r="Q19" s="284" t="s">
        <v>51</v>
      </c>
      <c r="R19" s="284"/>
      <c r="S19" s="365">
        <v>5.5E-2</v>
      </c>
      <c r="T19" s="352">
        <f>Rente</f>
        <v>5.5E-2</v>
      </c>
      <c r="U19" s="294"/>
      <c r="V19" s="223"/>
      <c r="Z19" s="216" t="s">
        <v>261</v>
      </c>
    </row>
    <row r="20" spans="1:31" ht="18.75" x14ac:dyDescent="0.35">
      <c r="A20" s="267"/>
      <c r="B20" s="273" t="s">
        <v>96</v>
      </c>
      <c r="C20" s="267">
        <v>-575</v>
      </c>
      <c r="D20" s="272">
        <v>-575</v>
      </c>
      <c r="E20" s="267" t="s">
        <v>169</v>
      </c>
      <c r="G20" s="267" t="s">
        <v>221</v>
      </c>
      <c r="H20" s="367">
        <v>0.78</v>
      </c>
      <c r="I20" s="281">
        <f>24/C8/N32</f>
        <v>1.2698412698412698</v>
      </c>
      <c r="J20" s="267" t="s">
        <v>161</v>
      </c>
      <c r="L20" s="267" t="s">
        <v>234</v>
      </c>
      <c r="M20" s="270">
        <v>-50</v>
      </c>
      <c r="N20" s="272">
        <v>-50</v>
      </c>
      <c r="O20" s="290" t="s">
        <v>190</v>
      </c>
      <c r="Q20" s="284" t="s">
        <v>164</v>
      </c>
      <c r="R20" s="284"/>
      <c r="S20" s="360">
        <v>-626589.87158614898</v>
      </c>
      <c r="T20" s="353">
        <f>-PMT(T19,Br_Levetid,BrPrisSamlet)</f>
        <v>-626589.87158614898</v>
      </c>
      <c r="U20" s="294" t="s">
        <v>176</v>
      </c>
      <c r="V20" s="221"/>
      <c r="W20" s="216" t="s">
        <v>263</v>
      </c>
      <c r="X20" s="216">
        <v>310</v>
      </c>
      <c r="Y20" s="271">
        <v>310</v>
      </c>
      <c r="Z20" s="216" t="s">
        <v>261</v>
      </c>
    </row>
    <row r="21" spans="1:31" ht="18.75" x14ac:dyDescent="0.35">
      <c r="A21" s="267"/>
      <c r="B21" s="267" t="s">
        <v>115</v>
      </c>
      <c r="C21" s="267">
        <v>15</v>
      </c>
      <c r="D21" s="272">
        <v>15</v>
      </c>
      <c r="E21" s="267" t="s">
        <v>172</v>
      </c>
      <c r="G21" s="267" t="s">
        <v>222</v>
      </c>
      <c r="H21" s="367">
        <v>0.82</v>
      </c>
      <c r="I21" s="281">
        <v>0.82</v>
      </c>
      <c r="J21" s="267" t="s">
        <v>161</v>
      </c>
      <c r="L21" s="267" t="s">
        <v>235</v>
      </c>
      <c r="M21" s="270">
        <v>-100</v>
      </c>
      <c r="N21" s="272">
        <v>-100</v>
      </c>
      <c r="O21" s="290" t="s">
        <v>190</v>
      </c>
      <c r="Q21" s="284" t="s">
        <v>180</v>
      </c>
      <c r="R21" s="284"/>
      <c r="S21" s="360"/>
      <c r="T21" s="352"/>
      <c r="U21" s="294"/>
      <c r="W21" s="216" t="s">
        <v>149</v>
      </c>
      <c r="X21" s="216">
        <v>357</v>
      </c>
      <c r="Y21" s="373">
        <f>Y20*0.15+Y20</f>
        <v>356.5</v>
      </c>
      <c r="Z21" s="216" t="s">
        <v>261</v>
      </c>
    </row>
    <row r="22" spans="1:31" x14ac:dyDescent="0.25">
      <c r="A22" s="267"/>
      <c r="B22" s="273" t="s">
        <v>5</v>
      </c>
      <c r="C22" s="267">
        <v>-675</v>
      </c>
      <c r="D22" s="272">
        <v>-675</v>
      </c>
      <c r="E22" s="267" t="s">
        <v>169</v>
      </c>
      <c r="G22" s="267" t="s">
        <v>216</v>
      </c>
      <c r="H22" s="367">
        <v>0.82</v>
      </c>
      <c r="I22" s="281">
        <v>0.82</v>
      </c>
      <c r="J22" s="267" t="s">
        <v>161</v>
      </c>
      <c r="L22" s="267" t="s">
        <v>307</v>
      </c>
      <c r="M22" s="270">
        <v>-33</v>
      </c>
      <c r="N22" s="272"/>
      <c r="O22" s="290" t="s">
        <v>190</v>
      </c>
      <c r="Q22" s="285" t="s">
        <v>251</v>
      </c>
      <c r="R22" s="285"/>
      <c r="S22" s="360">
        <v>-240000</v>
      </c>
      <c r="T22" s="354">
        <v>-240000</v>
      </c>
      <c r="U22" s="295" t="s">
        <v>244</v>
      </c>
      <c r="W22" s="216" t="s">
        <v>148</v>
      </c>
      <c r="X22" s="216">
        <v>357</v>
      </c>
      <c r="Y22" s="373">
        <f>Y20*0.15+Y20</f>
        <v>356.5</v>
      </c>
    </row>
    <row r="23" spans="1:31" x14ac:dyDescent="0.25">
      <c r="A23" s="267"/>
      <c r="B23" s="267" t="s">
        <v>115</v>
      </c>
      <c r="C23" s="267">
        <v>34</v>
      </c>
      <c r="D23" s="272">
        <v>34</v>
      </c>
      <c r="E23" s="267" t="s">
        <v>172</v>
      </c>
      <c r="G23" s="267" t="s">
        <v>265</v>
      </c>
      <c r="H23" s="367">
        <f>BrAflæsKap</f>
        <v>0.6</v>
      </c>
      <c r="I23" s="281">
        <f>BrAflæsKap</f>
        <v>0.6</v>
      </c>
      <c r="J23" s="267" t="s">
        <v>161</v>
      </c>
      <c r="L23" s="267" t="s">
        <v>306</v>
      </c>
      <c r="M23" s="270">
        <v>-45</v>
      </c>
      <c r="N23" s="272">
        <v>-45</v>
      </c>
      <c r="O23" s="290" t="s">
        <v>190</v>
      </c>
      <c r="Q23" s="285" t="s">
        <v>252</v>
      </c>
      <c r="R23" s="285"/>
      <c r="S23" s="360">
        <v>-1860000</v>
      </c>
      <c r="T23" s="354">
        <v>-1860000</v>
      </c>
      <c r="U23" s="295" t="s">
        <v>176</v>
      </c>
    </row>
    <row r="24" spans="1:31" x14ac:dyDescent="0.25">
      <c r="A24" s="267"/>
      <c r="B24" s="273" t="s">
        <v>194</v>
      </c>
      <c r="C24" s="267">
        <v>-625</v>
      </c>
      <c r="D24" s="272">
        <v>-625</v>
      </c>
      <c r="E24" s="267" t="s">
        <v>169</v>
      </c>
      <c r="G24" s="267"/>
      <c r="H24" s="270"/>
      <c r="I24" s="272"/>
      <c r="J24" s="267"/>
      <c r="L24" s="267"/>
      <c r="M24" s="270"/>
      <c r="N24" s="272"/>
      <c r="O24" s="290"/>
      <c r="Q24" s="267"/>
      <c r="R24" s="267"/>
      <c r="S24" s="287"/>
      <c r="T24" s="276"/>
      <c r="U24" s="290"/>
    </row>
    <row r="25" spans="1:31" x14ac:dyDescent="0.25">
      <c r="A25" s="267"/>
      <c r="B25" s="267" t="s">
        <v>115</v>
      </c>
      <c r="C25" s="267">
        <v>35</v>
      </c>
      <c r="D25" s="272">
        <v>35</v>
      </c>
      <c r="E25" s="267" t="s">
        <v>182</v>
      </c>
      <c r="G25" s="273" t="s">
        <v>2</v>
      </c>
      <c r="H25" s="270">
        <v>-650</v>
      </c>
      <c r="I25" s="272">
        <v>-650</v>
      </c>
      <c r="J25" s="267" t="s">
        <v>169</v>
      </c>
      <c r="L25" s="269" t="s">
        <v>224</v>
      </c>
      <c r="M25" s="270"/>
      <c r="N25" s="272"/>
      <c r="O25" s="290"/>
      <c r="Q25" s="274" t="s">
        <v>20</v>
      </c>
      <c r="R25" s="274"/>
      <c r="S25" s="287"/>
      <c r="T25" s="276"/>
      <c r="U25" s="290"/>
    </row>
    <row r="26" spans="1:31" ht="15.75" thickBot="1" x14ac:dyDescent="0.3">
      <c r="A26" s="267"/>
      <c r="B26" s="273" t="s">
        <v>195</v>
      </c>
      <c r="C26" s="267">
        <v>-650</v>
      </c>
      <c r="D26" s="272">
        <v>-650</v>
      </c>
      <c r="E26" s="267" t="s">
        <v>169</v>
      </c>
      <c r="G26" s="267" t="s">
        <v>223</v>
      </c>
      <c r="H26" s="367">
        <v>3</v>
      </c>
      <c r="I26" s="281">
        <v>3</v>
      </c>
      <c r="J26" s="267" t="s">
        <v>218</v>
      </c>
      <c r="L26" s="269"/>
      <c r="M26" s="270"/>
      <c r="N26" s="272"/>
      <c r="O26" s="290"/>
      <c r="Q26" s="267" t="s">
        <v>178</v>
      </c>
      <c r="R26" s="267"/>
      <c r="S26" s="287">
        <v>-5500000</v>
      </c>
      <c r="T26" s="355">
        <v>-5500000</v>
      </c>
      <c r="U26" s="290" t="s">
        <v>159</v>
      </c>
    </row>
    <row r="27" spans="1:31" ht="15.75" thickTop="1" x14ac:dyDescent="0.25">
      <c r="A27" s="267"/>
      <c r="B27" s="267" t="s">
        <v>115</v>
      </c>
      <c r="C27" s="267">
        <v>48</v>
      </c>
      <c r="D27" s="272">
        <v>48</v>
      </c>
      <c r="E27" s="267" t="s">
        <v>182</v>
      </c>
      <c r="G27" s="267" t="s">
        <v>223</v>
      </c>
      <c r="H27" s="368">
        <v>0.14000000000000001</v>
      </c>
      <c r="I27" s="281">
        <f>I26/(C27*N36)</f>
        <v>0.13888888888888887</v>
      </c>
      <c r="J27" s="219" t="s">
        <v>161</v>
      </c>
      <c r="L27" s="267" t="s">
        <v>236</v>
      </c>
      <c r="M27" s="367">
        <v>0.55000000000000004</v>
      </c>
      <c r="N27" s="281">
        <v>0.55000000000000004</v>
      </c>
      <c r="O27" s="290" t="s">
        <v>227</v>
      </c>
      <c r="Q27" s="267" t="s">
        <v>249</v>
      </c>
      <c r="R27" s="267"/>
      <c r="S27" s="287">
        <v>-123</v>
      </c>
      <c r="T27" s="356">
        <v>-123</v>
      </c>
      <c r="U27" s="293" t="s">
        <v>184</v>
      </c>
    </row>
    <row r="28" spans="1:31" x14ac:dyDescent="0.25">
      <c r="A28" s="267"/>
      <c r="B28" s="267"/>
      <c r="C28" s="267"/>
      <c r="D28" s="272"/>
      <c r="E28" s="267"/>
      <c r="I28" s="370"/>
      <c r="J28" s="219"/>
      <c r="L28" s="267" t="s">
        <v>237</v>
      </c>
      <c r="M28" s="367">
        <v>0.16</v>
      </c>
      <c r="N28" s="281">
        <v>0.16</v>
      </c>
      <c r="O28" s="290" t="s">
        <v>196</v>
      </c>
      <c r="Q28" s="267" t="s">
        <v>250</v>
      </c>
      <c r="R28" s="267"/>
      <c r="S28" s="287">
        <v>-25</v>
      </c>
      <c r="T28" s="356">
        <v>-25</v>
      </c>
      <c r="U28" s="293" t="s">
        <v>168</v>
      </c>
    </row>
    <row r="29" spans="1:31" ht="15.75" thickBot="1" x14ac:dyDescent="0.3">
      <c r="A29" s="267"/>
      <c r="B29" s="268" t="s">
        <v>209</v>
      </c>
      <c r="C29" s="267"/>
      <c r="D29" s="272"/>
      <c r="E29" s="267"/>
      <c r="I29" s="370"/>
      <c r="J29" s="219"/>
      <c r="L29" s="267" t="s">
        <v>313</v>
      </c>
      <c r="M29" s="367">
        <v>0.28000000000000003</v>
      </c>
      <c r="N29" s="281">
        <v>0.28000000000000003</v>
      </c>
      <c r="O29" s="290" t="s">
        <v>227</v>
      </c>
      <c r="Q29" s="267" t="s">
        <v>179</v>
      </c>
      <c r="R29" s="267"/>
      <c r="S29" s="287">
        <v>-98.8</v>
      </c>
      <c r="T29" s="355">
        <f>(T27*Energipris)+T28</f>
        <v>-98.8</v>
      </c>
      <c r="U29" s="293" t="s">
        <v>168</v>
      </c>
    </row>
    <row r="30" spans="1:31" ht="15.75" thickTop="1" x14ac:dyDescent="0.25">
      <c r="A30" s="267"/>
      <c r="B30" s="216" t="s">
        <v>40</v>
      </c>
      <c r="C30" s="216">
        <v>15</v>
      </c>
      <c r="D30" s="272">
        <v>15</v>
      </c>
      <c r="E30" s="267" t="s">
        <v>210</v>
      </c>
      <c r="I30" s="370"/>
      <c r="J30" s="219"/>
      <c r="L30" s="267" t="s">
        <v>314</v>
      </c>
      <c r="M30" s="367"/>
      <c r="N30" s="281"/>
      <c r="O30" s="290"/>
      <c r="Q30" s="267" t="s">
        <v>138</v>
      </c>
      <c r="R30" s="267"/>
      <c r="S30" s="287">
        <v>-50000</v>
      </c>
      <c r="T30" s="356">
        <v>-50000</v>
      </c>
      <c r="U30" s="293" t="s">
        <v>159</v>
      </c>
      <c r="V30" s="52"/>
    </row>
    <row r="31" spans="1:31" x14ac:dyDescent="0.25">
      <c r="A31" s="267"/>
      <c r="B31" s="216" t="s">
        <v>41</v>
      </c>
      <c r="C31" s="216">
        <v>25</v>
      </c>
      <c r="D31" s="272">
        <v>25</v>
      </c>
      <c r="E31" s="267" t="s">
        <v>210</v>
      </c>
      <c r="J31" s="277"/>
      <c r="L31" s="267" t="s">
        <v>238</v>
      </c>
      <c r="M31" s="270">
        <v>0.2</v>
      </c>
      <c r="N31" s="281">
        <v>0.2</v>
      </c>
      <c r="O31" s="290" t="s">
        <v>196</v>
      </c>
      <c r="Q31" s="267" t="s">
        <v>115</v>
      </c>
      <c r="R31" s="267"/>
      <c r="S31" s="287">
        <v>10000</v>
      </c>
      <c r="T31" s="356">
        <v>10000</v>
      </c>
      <c r="U31" s="293" t="s">
        <v>168</v>
      </c>
    </row>
    <row r="32" spans="1:31" x14ac:dyDescent="0.25">
      <c r="A32" s="267"/>
      <c r="B32" s="267" t="s">
        <v>42</v>
      </c>
      <c r="C32" s="278">
        <v>51.5</v>
      </c>
      <c r="D32" s="275">
        <v>51.5</v>
      </c>
      <c r="E32" s="267" t="s">
        <v>210</v>
      </c>
      <c r="G32" s="279"/>
      <c r="H32" s="369"/>
      <c r="J32" s="277"/>
      <c r="L32" s="267" t="s">
        <v>239</v>
      </c>
      <c r="M32" s="270">
        <v>0.7</v>
      </c>
      <c r="N32" s="281">
        <v>0.7</v>
      </c>
      <c r="O32" s="290" t="s">
        <v>227</v>
      </c>
      <c r="Q32" s="267" t="s">
        <v>181</v>
      </c>
      <c r="R32" s="267"/>
      <c r="S32" s="287">
        <v>10</v>
      </c>
      <c r="T32" s="356">
        <v>10</v>
      </c>
      <c r="U32" s="290" t="s">
        <v>177</v>
      </c>
    </row>
    <row r="33" spans="2:21" x14ac:dyDescent="0.25">
      <c r="G33" s="277"/>
      <c r="J33" s="277"/>
      <c r="L33" s="267" t="s">
        <v>240</v>
      </c>
      <c r="M33" s="270">
        <v>0.4</v>
      </c>
      <c r="N33" s="281">
        <v>0.4</v>
      </c>
      <c r="O33" s="290" t="s">
        <v>196</v>
      </c>
      <c r="Q33" s="267" t="s">
        <v>15</v>
      </c>
      <c r="R33" s="267"/>
      <c r="S33" s="287">
        <v>5.5E-2</v>
      </c>
      <c r="T33" s="282">
        <f>Rente</f>
        <v>5.5E-2</v>
      </c>
      <c r="U33" s="290"/>
    </row>
    <row r="34" spans="2:21" x14ac:dyDescent="0.25">
      <c r="B34" s="267"/>
      <c r="C34" s="267"/>
      <c r="D34" s="272"/>
      <c r="G34" s="279"/>
      <c r="H34" s="369"/>
      <c r="J34" s="277"/>
      <c r="L34" s="267" t="s">
        <v>347</v>
      </c>
      <c r="M34" s="270">
        <v>0.6</v>
      </c>
      <c r="N34" s="281">
        <v>0.6</v>
      </c>
      <c r="O34" s="290" t="s">
        <v>196</v>
      </c>
      <c r="Q34" s="267" t="s">
        <v>188</v>
      </c>
      <c r="R34" s="267"/>
      <c r="S34" s="287">
        <v>10</v>
      </c>
      <c r="T34" s="356">
        <v>10</v>
      </c>
      <c r="U34" s="290" t="s">
        <v>177</v>
      </c>
    </row>
    <row r="35" spans="2:21" x14ac:dyDescent="0.25">
      <c r="G35" s="277"/>
      <c r="J35" s="277"/>
      <c r="L35" s="267" t="s">
        <v>241</v>
      </c>
      <c r="M35" s="270">
        <v>0.3</v>
      </c>
      <c r="N35" s="281">
        <v>0.3</v>
      </c>
      <c r="O35" s="290" t="s">
        <v>348</v>
      </c>
      <c r="Q35" s="267" t="s">
        <v>164</v>
      </c>
      <c r="R35" s="267"/>
      <c r="S35" s="340">
        <v>-729672.72786868934</v>
      </c>
      <c r="T35" s="357">
        <f>-PMT(T33,Ex_levetid,Ex_pris)</f>
        <v>-729672.72786868934</v>
      </c>
      <c r="U35" s="288" t="s">
        <v>176</v>
      </c>
    </row>
    <row r="36" spans="2:21" x14ac:dyDescent="0.25">
      <c r="G36" s="277"/>
      <c r="J36" s="277"/>
      <c r="L36" s="267" t="s">
        <v>242</v>
      </c>
      <c r="M36" s="367">
        <v>0.45</v>
      </c>
      <c r="N36" s="281">
        <v>0.45</v>
      </c>
      <c r="O36" s="290" t="s">
        <v>196</v>
      </c>
    </row>
    <row r="37" spans="2:21" x14ac:dyDescent="0.25">
      <c r="G37" s="277"/>
      <c r="J37" s="277"/>
      <c r="L37" s="267"/>
      <c r="M37" s="270"/>
      <c r="N37" s="272"/>
      <c r="O37" s="290"/>
    </row>
    <row r="38" spans="2:21" x14ac:dyDescent="0.25">
      <c r="G38" s="279"/>
      <c r="H38" s="369"/>
      <c r="J38" s="277"/>
      <c r="L38" s="269" t="s">
        <v>225</v>
      </c>
      <c r="M38" s="270"/>
      <c r="N38" s="272"/>
      <c r="O38" s="290"/>
    </row>
    <row r="39" spans="2:21" x14ac:dyDescent="0.25">
      <c r="G39" s="277"/>
      <c r="J39" s="277"/>
      <c r="L39" s="267"/>
      <c r="M39" s="270"/>
      <c r="N39" s="272"/>
      <c r="O39" s="290"/>
    </row>
    <row r="40" spans="2:21" x14ac:dyDescent="0.25">
      <c r="G40" s="277"/>
      <c r="J40" s="277"/>
      <c r="L40" s="267" t="s">
        <v>51</v>
      </c>
      <c r="M40" s="408">
        <f>Rente</f>
        <v>5.5E-2</v>
      </c>
      <c r="N40" s="407">
        <v>5.5E-2</v>
      </c>
      <c r="O40" s="291" t="s">
        <v>187</v>
      </c>
    </row>
    <row r="41" spans="2:21" x14ac:dyDescent="0.25">
      <c r="G41" s="277"/>
      <c r="J41" s="277"/>
      <c r="L41" s="267" t="s">
        <v>243</v>
      </c>
      <c r="M41" s="409">
        <v>10</v>
      </c>
      <c r="N41" s="272">
        <v>10</v>
      </c>
      <c r="O41" s="290" t="s">
        <v>177</v>
      </c>
    </row>
    <row r="42" spans="2:21" x14ac:dyDescent="0.25">
      <c r="G42" s="277"/>
      <c r="L42" s="267"/>
      <c r="M42" s="270"/>
      <c r="N42" s="272"/>
      <c r="O42" s="290"/>
    </row>
    <row r="43" spans="2:21" x14ac:dyDescent="0.25">
      <c r="M43" s="270"/>
    </row>
    <row r="46" spans="2:21" x14ac:dyDescent="0.25">
      <c r="O46" s="297"/>
    </row>
    <row r="47" spans="2:21" x14ac:dyDescent="0.25">
      <c r="O47" s="297"/>
    </row>
    <row r="48" spans="2:21" x14ac:dyDescent="0.25">
      <c r="O48" s="297"/>
    </row>
    <row r="49" spans="15:15" x14ac:dyDescent="0.25">
      <c r="O49" s="297"/>
    </row>
    <row r="50" spans="15:15" x14ac:dyDescent="0.25">
      <c r="O50" s="297"/>
    </row>
    <row r="51" spans="15:15" x14ac:dyDescent="0.25">
      <c r="O51" s="297"/>
    </row>
    <row r="52" spans="15:15" x14ac:dyDescent="0.25">
      <c r="O52" s="297"/>
    </row>
    <row r="53" spans="15:15" x14ac:dyDescent="0.25">
      <c r="O53" s="297"/>
    </row>
    <row r="54" spans="15:15" x14ac:dyDescent="0.25">
      <c r="O54" s="297"/>
    </row>
    <row r="55" spans="15:15" x14ac:dyDescent="0.25">
      <c r="O55" s="297"/>
    </row>
  </sheetData>
  <mergeCells count="8">
    <mergeCell ref="AB7:AB9"/>
    <mergeCell ref="AC7:AC9"/>
    <mergeCell ref="AF7:AF9"/>
    <mergeCell ref="AH7:AH9"/>
    <mergeCell ref="AB10:AB12"/>
    <mergeCell ref="AC10:AC12"/>
    <mergeCell ref="AF10:AF12"/>
    <mergeCell ref="AH10:AH1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dimension ref="A1:BD65"/>
  <sheetViews>
    <sheetView workbookViewId="0">
      <selection activeCell="C18" sqref="C18"/>
    </sheetView>
  </sheetViews>
  <sheetFormatPr defaultRowHeight="15" x14ac:dyDescent="0.25"/>
  <cols>
    <col min="1" max="1" width="5.7109375" customWidth="1"/>
    <col min="2" max="2" width="22.42578125" customWidth="1"/>
    <col min="3" max="3" width="31.140625" bestFit="1" customWidth="1"/>
    <col min="4" max="4" width="15.140625" customWidth="1"/>
    <col min="5" max="6" width="17.5703125" customWidth="1"/>
    <col min="7" max="7" width="19.5703125" bestFit="1" customWidth="1"/>
    <col min="8" max="8" width="3.140625" customWidth="1"/>
    <col min="9" max="9" width="35.85546875" bestFit="1" customWidth="1"/>
    <col min="10" max="10" width="39" customWidth="1"/>
    <col min="11" max="11" width="54" bestFit="1" customWidth="1"/>
    <col min="12" max="12" width="31.7109375" bestFit="1" customWidth="1"/>
    <col min="15" max="15" width="33.85546875" customWidth="1"/>
    <col min="16" max="16" width="22.7109375" bestFit="1" customWidth="1"/>
    <col min="17" max="17" width="31" customWidth="1"/>
    <col min="18" max="18" width="30.140625" bestFit="1" customWidth="1"/>
    <col min="19" max="19" width="18.140625" bestFit="1" customWidth="1"/>
    <col min="20" max="20" width="22.7109375" customWidth="1"/>
    <col min="21" max="21" width="14.42578125" bestFit="1" customWidth="1"/>
    <col min="22" max="22" width="18.140625" bestFit="1" customWidth="1"/>
    <col min="23" max="23" width="13.7109375" bestFit="1" customWidth="1"/>
    <col min="24" max="24" width="36.85546875" bestFit="1" customWidth="1"/>
    <col min="25" max="25" width="14.42578125" bestFit="1" customWidth="1"/>
    <col min="26" max="26" width="36.85546875" bestFit="1" customWidth="1"/>
    <col min="27" max="27" width="17" bestFit="1" customWidth="1"/>
    <col min="28" max="28" width="6.85546875" bestFit="1" customWidth="1"/>
    <col min="29" max="29" width="8.85546875" bestFit="1" customWidth="1"/>
    <col min="30" max="31" width="10.140625" bestFit="1" customWidth="1"/>
    <col min="32" max="32" width="8.28515625" bestFit="1" customWidth="1"/>
    <col min="33" max="33" width="16.28515625" bestFit="1" customWidth="1"/>
    <col min="34" max="34" width="14" bestFit="1" customWidth="1"/>
    <col min="35" max="35" width="14.5703125" bestFit="1" customWidth="1"/>
    <col min="37" max="37" width="15.42578125" customWidth="1"/>
    <col min="38" max="38" width="16.28515625" bestFit="1" customWidth="1"/>
    <col min="43" max="43" width="14.5703125" customWidth="1"/>
    <col min="47" max="47" width="15" customWidth="1"/>
  </cols>
  <sheetData>
    <row r="1" spans="1:56" ht="21" x14ac:dyDescent="0.35">
      <c r="A1" s="15"/>
      <c r="B1" s="477" t="s">
        <v>474</v>
      </c>
      <c r="C1" s="477"/>
      <c r="D1" s="477"/>
      <c r="E1" s="393"/>
      <c r="F1" s="393"/>
      <c r="H1" s="478" t="s">
        <v>356</v>
      </c>
      <c r="I1" s="477"/>
      <c r="J1" s="477"/>
      <c r="K1" s="477"/>
      <c r="L1" s="303"/>
      <c r="M1" s="303"/>
      <c r="N1" s="304"/>
      <c r="O1" s="479" t="s">
        <v>67</v>
      </c>
      <c r="P1" s="479"/>
      <c r="Q1" s="479"/>
      <c r="R1" s="479"/>
      <c r="S1" s="479"/>
      <c r="T1" s="479"/>
      <c r="U1" s="479"/>
      <c r="V1" s="479"/>
      <c r="W1" s="479"/>
      <c r="X1" s="479"/>
      <c r="Y1" s="479"/>
      <c r="Z1" s="479"/>
      <c r="AA1" s="479"/>
    </row>
    <row r="2" spans="1:56" x14ac:dyDescent="0.25">
      <c r="A2" s="15"/>
      <c r="B2" s="386"/>
      <c r="C2" s="15"/>
      <c r="D2" s="15"/>
      <c r="E2" s="15"/>
      <c r="F2" s="15"/>
      <c r="H2" s="18"/>
      <c r="I2" s="15"/>
      <c r="J2" s="15"/>
      <c r="K2" s="15"/>
      <c r="L2" s="15"/>
      <c r="M2" s="15"/>
      <c r="N2" s="16"/>
      <c r="AK2" t="s">
        <v>140</v>
      </c>
    </row>
    <row r="3" spans="1:56" x14ac:dyDescent="0.25">
      <c r="A3" s="389">
        <v>1</v>
      </c>
      <c r="B3" s="390" t="s">
        <v>475</v>
      </c>
      <c r="C3" s="17"/>
      <c r="D3" s="15"/>
      <c r="E3" s="15"/>
      <c r="F3" s="15"/>
      <c r="H3" s="305"/>
      <c r="I3" s="306"/>
      <c r="J3" s="306" t="s">
        <v>406</v>
      </c>
      <c r="K3" s="306" t="s">
        <v>383</v>
      </c>
      <c r="L3" s="306" t="s">
        <v>410</v>
      </c>
      <c r="M3" s="306" t="s">
        <v>365</v>
      </c>
      <c r="N3" s="16"/>
      <c r="O3" s="30"/>
      <c r="P3" s="30"/>
      <c r="Q3" s="30" t="s">
        <v>71</v>
      </c>
      <c r="R3" s="30" t="s">
        <v>72</v>
      </c>
      <c r="S3" s="30" t="s">
        <v>73</v>
      </c>
      <c r="T3" s="30" t="s">
        <v>74</v>
      </c>
      <c r="U3" s="30" t="s">
        <v>26</v>
      </c>
      <c r="V3" s="30" t="s">
        <v>85</v>
      </c>
      <c r="W3" s="30" t="s">
        <v>75</v>
      </c>
      <c r="X3" s="30" t="s">
        <v>76</v>
      </c>
      <c r="Y3" s="30" t="s">
        <v>26</v>
      </c>
      <c r="Z3" s="30" t="s">
        <v>10</v>
      </c>
      <c r="AA3" s="30" t="s">
        <v>11</v>
      </c>
      <c r="AB3" s="30" t="s">
        <v>12</v>
      </c>
      <c r="AC3" s="30" t="s">
        <v>13</v>
      </c>
      <c r="AD3" s="30" t="s">
        <v>77</v>
      </c>
      <c r="AE3" s="30" t="s">
        <v>78</v>
      </c>
      <c r="AF3" s="30" t="s">
        <v>79</v>
      </c>
      <c r="AG3" s="30" t="s">
        <v>80</v>
      </c>
      <c r="AH3" s="30" t="s">
        <v>81</v>
      </c>
      <c r="AI3" s="30" t="s">
        <v>82</v>
      </c>
      <c r="AM3" s="30" t="s">
        <v>71</v>
      </c>
      <c r="AN3" s="30" t="s">
        <v>72</v>
      </c>
      <c r="AO3" s="30" t="s">
        <v>73</v>
      </c>
      <c r="AP3" s="30" t="s">
        <v>74</v>
      </c>
      <c r="AQ3" s="30" t="s">
        <v>26</v>
      </c>
      <c r="AR3" s="30" t="s">
        <v>85</v>
      </c>
      <c r="AS3" s="30" t="s">
        <v>143</v>
      </c>
      <c r="AT3" s="30" t="s">
        <v>75</v>
      </c>
      <c r="AU3" s="30" t="s">
        <v>26</v>
      </c>
      <c r="AV3" s="30" t="s">
        <v>10</v>
      </c>
      <c r="AW3" s="30" t="s">
        <v>11</v>
      </c>
      <c r="AX3" s="30" t="s">
        <v>12</v>
      </c>
      <c r="AY3" s="30" t="s">
        <v>13</v>
      </c>
      <c r="AZ3" s="30" t="s">
        <v>77</v>
      </c>
      <c r="BA3" s="30" t="s">
        <v>79</v>
      </c>
      <c r="BB3" s="30" t="s">
        <v>80</v>
      </c>
      <c r="BC3" s="30" t="s">
        <v>81</v>
      </c>
      <c r="BD3" s="30" t="s">
        <v>82</v>
      </c>
    </row>
    <row r="4" spans="1:56" x14ac:dyDescent="0.25">
      <c r="A4" s="389">
        <v>2</v>
      </c>
      <c r="B4" s="390" t="s">
        <v>476</v>
      </c>
      <c r="C4" s="17"/>
      <c r="D4" s="15"/>
      <c r="E4" s="15"/>
      <c r="F4" s="15"/>
      <c r="G4" s="394"/>
      <c r="H4" s="306">
        <v>1</v>
      </c>
      <c r="I4" s="306" t="s">
        <v>390</v>
      </c>
      <c r="J4" s="306">
        <v>1001500</v>
      </c>
      <c r="K4" s="307">
        <f>PMT(Rente,Løbetid10,J4)</f>
        <v>-132866.77035645314</v>
      </c>
      <c r="L4" s="308">
        <v>0.9</v>
      </c>
      <c r="M4" s="306">
        <v>5000</v>
      </c>
      <c r="N4" s="16"/>
      <c r="O4" s="30">
        <v>1</v>
      </c>
      <c r="P4" s="30" t="s">
        <v>68</v>
      </c>
      <c r="Q4" s="30">
        <v>1</v>
      </c>
      <c r="R4" s="30">
        <v>155</v>
      </c>
      <c r="S4" s="30">
        <v>23</v>
      </c>
      <c r="T4" s="30">
        <v>213</v>
      </c>
      <c r="U4" s="30">
        <v>0</v>
      </c>
      <c r="V4" s="30">
        <v>1</v>
      </c>
      <c r="W4" s="30">
        <v>1</v>
      </c>
      <c r="X4" s="30">
        <v>1</v>
      </c>
      <c r="Y4" s="30">
        <v>0</v>
      </c>
      <c r="Z4" s="30">
        <v>1</v>
      </c>
      <c r="AA4" s="30">
        <v>2</v>
      </c>
      <c r="AB4" s="30">
        <v>1</v>
      </c>
      <c r="AC4" s="30">
        <v>1</v>
      </c>
      <c r="AD4" s="30">
        <v>4</v>
      </c>
      <c r="AE4" s="30">
        <v>1</v>
      </c>
      <c r="AF4" s="30">
        <v>0</v>
      </c>
      <c r="AG4" s="30">
        <v>0</v>
      </c>
      <c r="AH4" s="30">
        <v>0</v>
      </c>
      <c r="AI4" s="30">
        <v>1</v>
      </c>
      <c r="AK4">
        <v>1</v>
      </c>
      <c r="AL4" t="s">
        <v>68</v>
      </c>
      <c r="AM4">
        <v>2</v>
      </c>
      <c r="AN4">
        <v>147</v>
      </c>
      <c r="AO4">
        <v>36</v>
      </c>
      <c r="AP4">
        <v>151</v>
      </c>
      <c r="AR4">
        <v>1</v>
      </c>
      <c r="AS4">
        <v>153</v>
      </c>
      <c r="AT4">
        <v>1</v>
      </c>
      <c r="AV4">
        <v>1</v>
      </c>
      <c r="AW4">
        <v>1</v>
      </c>
      <c r="AX4">
        <v>1</v>
      </c>
      <c r="AY4">
        <v>1</v>
      </c>
      <c r="AZ4">
        <v>2</v>
      </c>
      <c r="BD4">
        <v>1</v>
      </c>
    </row>
    <row r="5" spans="1:56" x14ac:dyDescent="0.25">
      <c r="A5" s="389">
        <v>3</v>
      </c>
      <c r="B5" s="390" t="s">
        <v>477</v>
      </c>
      <c r="C5" s="17"/>
      <c r="D5" s="15"/>
      <c r="E5" s="15"/>
      <c r="F5" s="15"/>
      <c r="G5" s="394"/>
      <c r="H5" s="306">
        <v>2</v>
      </c>
      <c r="I5" s="306" t="s">
        <v>403</v>
      </c>
      <c r="J5" s="306">
        <v>1816500</v>
      </c>
      <c r="K5" s="307">
        <f>PMT(Rente,Løbetid10,J5)</f>
        <v>-240991.00184972258</v>
      </c>
      <c r="L5" s="308">
        <v>0.9</v>
      </c>
      <c r="M5" s="306">
        <v>5000</v>
      </c>
      <c r="N5" s="16"/>
      <c r="O5" s="30">
        <v>2</v>
      </c>
      <c r="P5" s="30" t="s">
        <v>69</v>
      </c>
      <c r="Q5" s="30">
        <v>1</v>
      </c>
      <c r="R5" s="30">
        <v>181</v>
      </c>
      <c r="S5" s="30">
        <v>29</v>
      </c>
      <c r="T5" s="30">
        <v>280</v>
      </c>
      <c r="U5" s="30">
        <v>0</v>
      </c>
      <c r="V5" s="30">
        <v>1</v>
      </c>
      <c r="W5" s="30">
        <v>1</v>
      </c>
      <c r="X5" s="30">
        <v>1</v>
      </c>
      <c r="Y5" s="30">
        <v>0</v>
      </c>
      <c r="Z5" s="30">
        <v>1</v>
      </c>
      <c r="AA5" s="30">
        <v>2</v>
      </c>
      <c r="AB5" s="30">
        <v>1</v>
      </c>
      <c r="AC5" s="30">
        <v>1</v>
      </c>
      <c r="AD5" s="30">
        <v>4</v>
      </c>
      <c r="AE5" s="30">
        <v>1</v>
      </c>
      <c r="AF5" s="30">
        <v>1</v>
      </c>
      <c r="AG5" s="30">
        <v>2</v>
      </c>
      <c r="AH5" s="30">
        <v>70</v>
      </c>
      <c r="AI5" s="30">
        <v>1</v>
      </c>
      <c r="AK5">
        <v>2</v>
      </c>
      <c r="AL5" t="s">
        <v>69</v>
      </c>
      <c r="AM5">
        <v>2</v>
      </c>
      <c r="AN5">
        <v>160</v>
      </c>
      <c r="AO5">
        <v>39</v>
      </c>
      <c r="AP5">
        <v>165</v>
      </c>
      <c r="AR5">
        <v>1</v>
      </c>
      <c r="AS5">
        <v>169</v>
      </c>
      <c r="AT5">
        <v>1</v>
      </c>
      <c r="AV5">
        <v>1</v>
      </c>
      <c r="AW5">
        <v>1</v>
      </c>
      <c r="AX5">
        <v>1</v>
      </c>
      <c r="AY5">
        <v>1</v>
      </c>
      <c r="AZ5">
        <v>2</v>
      </c>
      <c r="BA5">
        <v>1</v>
      </c>
      <c r="BB5">
        <v>2</v>
      </c>
      <c r="BC5">
        <v>70</v>
      </c>
      <c r="BD5">
        <v>1</v>
      </c>
    </row>
    <row r="6" spans="1:56" x14ac:dyDescent="0.25">
      <c r="A6" s="15"/>
      <c r="B6" s="15"/>
      <c r="C6" s="15"/>
      <c r="D6" s="15"/>
      <c r="E6" s="15"/>
      <c r="F6" s="15"/>
      <c r="G6" s="394"/>
      <c r="H6" s="306">
        <v>3</v>
      </c>
      <c r="I6" s="306" t="s">
        <v>404</v>
      </c>
      <c r="J6" s="306">
        <v>1391500</v>
      </c>
      <c r="K6" s="307">
        <f>PMT(Rente,Løbetid10,J6)</f>
        <v>-184607.2001507784</v>
      </c>
      <c r="L6" s="308">
        <v>0.9</v>
      </c>
      <c r="M6" s="306">
        <v>5000</v>
      </c>
      <c r="N6" s="16"/>
      <c r="O6" s="30">
        <v>3</v>
      </c>
      <c r="P6" s="30" t="s">
        <v>70</v>
      </c>
      <c r="Q6" s="30">
        <v>1</v>
      </c>
      <c r="R6" s="30">
        <v>168</v>
      </c>
      <c r="S6" s="30">
        <v>30</v>
      </c>
      <c r="T6" s="30">
        <v>281</v>
      </c>
      <c r="U6" s="30">
        <v>0</v>
      </c>
      <c r="V6" s="30">
        <v>1</v>
      </c>
      <c r="W6" s="30">
        <v>1</v>
      </c>
      <c r="X6" s="30">
        <v>1</v>
      </c>
      <c r="Y6" s="30">
        <v>0</v>
      </c>
      <c r="Z6" s="30">
        <v>1</v>
      </c>
      <c r="AA6" s="30">
        <v>2</v>
      </c>
      <c r="AB6" s="30">
        <v>1</v>
      </c>
      <c r="AC6" s="30">
        <v>1</v>
      </c>
      <c r="AD6" s="30">
        <v>4</v>
      </c>
      <c r="AE6" s="30">
        <v>1</v>
      </c>
      <c r="AF6" s="30">
        <v>0</v>
      </c>
      <c r="AG6" s="30">
        <v>0</v>
      </c>
      <c r="AH6" s="30">
        <v>0</v>
      </c>
      <c r="AI6" s="30">
        <v>1</v>
      </c>
      <c r="AK6">
        <v>3</v>
      </c>
      <c r="AL6" t="s">
        <v>70</v>
      </c>
      <c r="AM6">
        <v>2</v>
      </c>
      <c r="AN6">
        <v>137</v>
      </c>
      <c r="AO6">
        <v>39</v>
      </c>
      <c r="AP6">
        <v>144</v>
      </c>
      <c r="AR6">
        <v>1</v>
      </c>
      <c r="AS6">
        <v>168</v>
      </c>
      <c r="AT6">
        <v>1</v>
      </c>
      <c r="AV6">
        <v>1</v>
      </c>
      <c r="AW6">
        <v>1</v>
      </c>
      <c r="AX6">
        <v>1</v>
      </c>
      <c r="AY6">
        <v>1</v>
      </c>
      <c r="AZ6">
        <v>2</v>
      </c>
      <c r="BD6">
        <v>1</v>
      </c>
    </row>
    <row r="7" spans="1:56" x14ac:dyDescent="0.25">
      <c r="A7" s="389"/>
      <c r="B7" s="389" t="s">
        <v>470</v>
      </c>
      <c r="C7" s="389" t="s">
        <v>472</v>
      </c>
      <c r="D7" s="389">
        <v>-2067</v>
      </c>
      <c r="E7" s="389"/>
      <c r="F7" s="389"/>
      <c r="G7" s="394">
        <v>1</v>
      </c>
      <c r="H7" s="306">
        <v>4</v>
      </c>
      <c r="I7" s="306" t="s">
        <v>405</v>
      </c>
      <c r="J7" s="306">
        <v>1816500</v>
      </c>
      <c r="K7" s="307">
        <f>PMT(Rente,Løbetid10,J7)</f>
        <v>-240991.00184972258</v>
      </c>
      <c r="L7" s="308">
        <v>0.8</v>
      </c>
      <c r="M7" s="306">
        <v>5000</v>
      </c>
      <c r="N7" s="16"/>
    </row>
    <row r="8" spans="1:56" x14ac:dyDescent="0.25">
      <c r="A8" s="389"/>
      <c r="B8" s="389" t="s">
        <v>471</v>
      </c>
      <c r="C8" s="450" t="s">
        <v>473</v>
      </c>
      <c r="D8" s="389">
        <v>-3500</v>
      </c>
      <c r="E8" s="389"/>
      <c r="F8" s="389"/>
      <c r="G8" s="394">
        <v>2</v>
      </c>
      <c r="H8" s="15"/>
      <c r="I8" s="15"/>
      <c r="J8" s="15"/>
      <c r="K8" s="15"/>
      <c r="L8" s="15"/>
      <c r="M8" s="15"/>
      <c r="N8" s="16"/>
      <c r="O8" s="30">
        <v>1</v>
      </c>
      <c r="P8" s="30" t="s">
        <v>68</v>
      </c>
      <c r="Q8" s="30">
        <v>1</v>
      </c>
      <c r="R8" s="30">
        <v>7</v>
      </c>
      <c r="S8" s="30">
        <v>0</v>
      </c>
      <c r="T8" s="30">
        <v>0</v>
      </c>
      <c r="U8" s="30">
        <v>40</v>
      </c>
      <c r="V8" s="30">
        <v>1</v>
      </c>
      <c r="W8" s="30">
        <v>1</v>
      </c>
      <c r="X8" s="30">
        <v>1</v>
      </c>
      <c r="Y8" s="30">
        <v>40</v>
      </c>
      <c r="Z8" s="30">
        <v>1</v>
      </c>
      <c r="AA8" s="30">
        <v>2</v>
      </c>
      <c r="AB8" s="30">
        <v>1</v>
      </c>
      <c r="AC8" s="30">
        <v>1</v>
      </c>
      <c r="AD8" s="30">
        <v>4</v>
      </c>
      <c r="AE8" s="30">
        <v>1</v>
      </c>
      <c r="AF8" s="30">
        <v>0</v>
      </c>
      <c r="AG8" s="30">
        <v>0</v>
      </c>
      <c r="AH8" s="30">
        <v>0</v>
      </c>
      <c r="AI8" s="30">
        <v>1</v>
      </c>
      <c r="AK8">
        <v>1</v>
      </c>
      <c r="AL8" t="s">
        <v>68</v>
      </c>
      <c r="AM8">
        <v>2</v>
      </c>
      <c r="AN8">
        <v>30</v>
      </c>
      <c r="AO8">
        <v>15</v>
      </c>
      <c r="AQ8">
        <v>3200</v>
      </c>
      <c r="AR8">
        <v>1</v>
      </c>
      <c r="AS8">
        <v>153</v>
      </c>
      <c r="AT8">
        <v>1</v>
      </c>
      <c r="AU8">
        <v>32</v>
      </c>
      <c r="AW8">
        <v>1</v>
      </c>
      <c r="AX8">
        <v>1</v>
      </c>
      <c r="AY8">
        <v>1</v>
      </c>
      <c r="AZ8">
        <v>2</v>
      </c>
      <c r="BD8">
        <v>1</v>
      </c>
    </row>
    <row r="9" spans="1:56" x14ac:dyDescent="0.25">
      <c r="A9" s="389"/>
      <c r="B9" s="389"/>
      <c r="C9" s="389"/>
      <c r="D9" s="389"/>
      <c r="E9" s="389"/>
      <c r="F9" s="389"/>
      <c r="G9" s="394"/>
      <c r="H9" s="306">
        <v>1</v>
      </c>
      <c r="I9" s="306" t="s">
        <v>407</v>
      </c>
      <c r="J9" s="306">
        <f>Normer!TraktorFrontVogn</f>
        <v>-650</v>
      </c>
      <c r="K9" s="306"/>
      <c r="L9" s="306" t="s">
        <v>411</v>
      </c>
      <c r="M9" s="309">
        <f>LæsFrontBig</f>
        <v>0.60606060606060597</v>
      </c>
      <c r="N9" s="310" t="s">
        <v>161</v>
      </c>
      <c r="O9" s="30">
        <v>2</v>
      </c>
      <c r="P9" s="30" t="s">
        <v>69</v>
      </c>
      <c r="Q9" s="30">
        <v>1</v>
      </c>
      <c r="R9" s="30">
        <v>33</v>
      </c>
      <c r="S9" s="30">
        <v>0</v>
      </c>
      <c r="T9" s="30">
        <v>0</v>
      </c>
      <c r="U9" s="30">
        <v>40</v>
      </c>
      <c r="V9" s="30">
        <v>1</v>
      </c>
      <c r="W9" s="30">
        <v>1</v>
      </c>
      <c r="X9" s="30">
        <v>1</v>
      </c>
      <c r="Y9" s="30">
        <v>40</v>
      </c>
      <c r="Z9" s="30">
        <v>1</v>
      </c>
      <c r="AA9" s="30">
        <v>2</v>
      </c>
      <c r="AB9" s="30">
        <v>1</v>
      </c>
      <c r="AC9" s="30">
        <v>1</v>
      </c>
      <c r="AD9" s="30">
        <v>4</v>
      </c>
      <c r="AE9" s="30">
        <v>1</v>
      </c>
      <c r="AF9" s="30">
        <v>1</v>
      </c>
      <c r="AG9" s="30">
        <v>2</v>
      </c>
      <c r="AH9" s="30">
        <v>70</v>
      </c>
      <c r="AI9" s="30">
        <v>1</v>
      </c>
      <c r="AK9">
        <v>2</v>
      </c>
      <c r="AL9" t="s">
        <v>69</v>
      </c>
      <c r="AM9">
        <v>2</v>
      </c>
      <c r="AN9">
        <v>30</v>
      </c>
      <c r="AO9">
        <v>15</v>
      </c>
      <c r="AQ9">
        <v>3500</v>
      </c>
      <c r="AR9">
        <v>1</v>
      </c>
      <c r="AS9">
        <v>169</v>
      </c>
      <c r="AT9">
        <v>1</v>
      </c>
      <c r="AU9">
        <v>35</v>
      </c>
      <c r="AW9">
        <v>1</v>
      </c>
      <c r="AX9">
        <v>1</v>
      </c>
      <c r="AY9">
        <v>1</v>
      </c>
      <c r="AZ9">
        <v>2</v>
      </c>
      <c r="BA9">
        <v>1</v>
      </c>
      <c r="BB9">
        <v>2</v>
      </c>
      <c r="BC9">
        <v>70</v>
      </c>
      <c r="BD9">
        <v>1</v>
      </c>
    </row>
    <row r="10" spans="1:56" x14ac:dyDescent="0.25">
      <c r="A10" s="15"/>
      <c r="B10" s="17"/>
      <c r="C10" s="17" t="s">
        <v>168</v>
      </c>
      <c r="D10" s="17"/>
      <c r="E10" s="17"/>
      <c r="F10" s="17"/>
      <c r="G10" s="394"/>
      <c r="H10" s="306">
        <v>2</v>
      </c>
      <c r="I10" s="306" t="s">
        <v>408</v>
      </c>
      <c r="J10" s="306">
        <f>Teleskoplæsser</f>
        <v>-800</v>
      </c>
      <c r="K10" s="306"/>
      <c r="L10" s="306" t="s">
        <v>411</v>
      </c>
      <c r="M10" s="311">
        <f>LæsseTeleBig</f>
        <v>0.82</v>
      </c>
      <c r="N10" s="310" t="s">
        <v>161</v>
      </c>
      <c r="O10" s="30">
        <v>3</v>
      </c>
      <c r="P10" s="30" t="s">
        <v>70</v>
      </c>
      <c r="Q10" s="30">
        <v>1</v>
      </c>
      <c r="R10" s="30">
        <v>20</v>
      </c>
      <c r="S10" s="30">
        <v>0</v>
      </c>
      <c r="T10" s="30">
        <v>0</v>
      </c>
      <c r="U10" s="30">
        <v>40</v>
      </c>
      <c r="V10" s="30">
        <v>1</v>
      </c>
      <c r="W10" s="30">
        <v>1</v>
      </c>
      <c r="X10" s="30">
        <v>1</v>
      </c>
      <c r="Y10" s="30">
        <v>40</v>
      </c>
      <c r="Z10" s="30">
        <v>1</v>
      </c>
      <c r="AA10" s="30">
        <v>2</v>
      </c>
      <c r="AB10" s="30">
        <v>1</v>
      </c>
      <c r="AC10" s="30">
        <v>1</v>
      </c>
      <c r="AD10" s="30">
        <v>4</v>
      </c>
      <c r="AE10" s="30">
        <v>1</v>
      </c>
      <c r="AF10" s="30">
        <v>0</v>
      </c>
      <c r="AG10" s="30">
        <v>0</v>
      </c>
      <c r="AH10" s="30">
        <v>0</v>
      </c>
      <c r="AI10" s="30">
        <v>1</v>
      </c>
      <c r="AK10">
        <v>3</v>
      </c>
      <c r="AL10" t="s">
        <v>70</v>
      </c>
      <c r="AM10">
        <v>2</v>
      </c>
      <c r="AN10">
        <v>30</v>
      </c>
      <c r="AO10">
        <v>15</v>
      </c>
      <c r="AQ10">
        <v>2900</v>
      </c>
      <c r="AR10">
        <v>1</v>
      </c>
      <c r="AS10">
        <v>168</v>
      </c>
      <c r="AT10">
        <v>1</v>
      </c>
      <c r="AU10">
        <v>29</v>
      </c>
      <c r="AW10">
        <v>1</v>
      </c>
      <c r="AX10">
        <v>1</v>
      </c>
      <c r="AY10">
        <v>1</v>
      </c>
      <c r="AZ10">
        <v>2</v>
      </c>
      <c r="BD10">
        <v>1</v>
      </c>
    </row>
    <row r="11" spans="1:56" x14ac:dyDescent="0.25">
      <c r="A11" s="389">
        <v>1</v>
      </c>
      <c r="B11" s="389" t="s">
        <v>478</v>
      </c>
      <c r="C11" s="389">
        <f>-42/Rundballevægt</f>
        <v>-149.99999999999997</v>
      </c>
      <c r="D11" s="389"/>
      <c r="E11" s="389"/>
      <c r="F11" s="389"/>
      <c r="G11" s="394"/>
      <c r="H11" s="306">
        <v>3</v>
      </c>
      <c r="I11" s="306" t="s">
        <v>409</v>
      </c>
      <c r="J11" s="306">
        <v>0</v>
      </c>
      <c r="K11" s="306"/>
      <c r="L11" s="306"/>
      <c r="M11" s="311"/>
      <c r="N11" s="310"/>
    </row>
    <row r="12" spans="1:56" x14ac:dyDescent="0.25">
      <c r="A12" s="389">
        <v>2</v>
      </c>
      <c r="B12" s="389" t="s">
        <v>479</v>
      </c>
      <c r="C12" s="389">
        <f>-180/'Meadow grass'!C7*100</f>
        <v>-225</v>
      </c>
      <c r="D12" s="389"/>
      <c r="E12" s="389"/>
      <c r="F12" s="389"/>
      <c r="G12" s="394"/>
      <c r="H12" s="15"/>
      <c r="I12" s="15"/>
      <c r="J12" s="449" t="s">
        <v>432</v>
      </c>
      <c r="K12" s="449" t="s">
        <v>198</v>
      </c>
      <c r="L12" s="15"/>
      <c r="M12" s="15"/>
      <c r="N12" s="16"/>
      <c r="O12" s="30" t="s">
        <v>84</v>
      </c>
      <c r="P12" s="30"/>
      <c r="Q12" s="30"/>
      <c r="R12" s="30"/>
      <c r="S12" s="30"/>
      <c r="T12" s="30"/>
      <c r="U12" s="30"/>
      <c r="V12" s="30"/>
      <c r="W12" s="30"/>
      <c r="X12" s="30"/>
      <c r="Y12" s="30"/>
      <c r="Z12" s="30"/>
      <c r="AA12" s="30"/>
      <c r="AB12" s="30"/>
      <c r="AC12" s="30"/>
      <c r="AD12" s="30"/>
      <c r="AE12" s="30"/>
      <c r="AF12" s="30"/>
      <c r="AG12" s="30"/>
      <c r="AH12" s="30"/>
      <c r="AI12" s="30"/>
      <c r="AK12" t="s">
        <v>142</v>
      </c>
    </row>
    <row r="13" spans="1:56" x14ac:dyDescent="0.25">
      <c r="A13" s="389">
        <v>3</v>
      </c>
      <c r="B13" s="389" t="s">
        <v>480</v>
      </c>
      <c r="C13" s="389">
        <v>0</v>
      </c>
      <c r="D13" s="389"/>
      <c r="E13" s="389"/>
      <c r="F13" s="389"/>
      <c r="G13" s="394"/>
      <c r="H13" s="306">
        <v>1</v>
      </c>
      <c r="I13" s="306" t="s">
        <v>413</v>
      </c>
      <c r="J13" s="15">
        <v>-625</v>
      </c>
      <c r="K13" s="15">
        <v>35</v>
      </c>
      <c r="L13" s="15"/>
      <c r="M13" s="15"/>
      <c r="N13" s="16"/>
      <c r="O13" s="30">
        <v>1</v>
      </c>
      <c r="P13" s="30" t="s">
        <v>68</v>
      </c>
      <c r="Q13" s="30">
        <v>-1400</v>
      </c>
      <c r="R13" s="30">
        <v>-8</v>
      </c>
      <c r="S13" s="30">
        <v>-12</v>
      </c>
      <c r="T13" s="30">
        <v>-6</v>
      </c>
      <c r="U13" s="30">
        <v>0</v>
      </c>
      <c r="V13" s="30">
        <v>-1540</v>
      </c>
      <c r="W13" s="30">
        <v>-650</v>
      </c>
      <c r="X13" s="30">
        <v>-200</v>
      </c>
      <c r="Y13" s="30">
        <v>0</v>
      </c>
      <c r="Z13" s="30">
        <v>-133</v>
      </c>
      <c r="AA13" s="30">
        <v>-152</v>
      </c>
      <c r="AB13" s="30">
        <v>-475</v>
      </c>
      <c r="AC13" s="30">
        <v>-160</v>
      </c>
      <c r="AD13" s="30">
        <v>-200</v>
      </c>
      <c r="AE13" s="30">
        <v>-1497</v>
      </c>
      <c r="AF13" s="30">
        <v>0</v>
      </c>
      <c r="AG13" s="30">
        <v>0</v>
      </c>
      <c r="AH13" s="30">
        <v>0</v>
      </c>
      <c r="AI13" s="30">
        <v>-500</v>
      </c>
      <c r="AK13">
        <v>1</v>
      </c>
      <c r="AL13" t="s">
        <v>68</v>
      </c>
      <c r="AM13">
        <v>-800</v>
      </c>
      <c r="AN13">
        <v>-8</v>
      </c>
      <c r="AO13">
        <v>-12</v>
      </c>
      <c r="AP13">
        <v>-6</v>
      </c>
      <c r="AR13">
        <v>-590</v>
      </c>
      <c r="AS13">
        <v>-2.2000000000000002</v>
      </c>
      <c r="AT13">
        <v>-608</v>
      </c>
      <c r="AV13">
        <v>-133</v>
      </c>
      <c r="AW13">
        <v>-152</v>
      </c>
      <c r="AX13">
        <v>-570</v>
      </c>
      <c r="AY13">
        <v>-160</v>
      </c>
      <c r="AZ13">
        <v>-160</v>
      </c>
      <c r="BD13">
        <v>-500</v>
      </c>
    </row>
    <row r="14" spans="1:56" x14ac:dyDescent="0.25">
      <c r="A14" s="15"/>
      <c r="B14" s="15"/>
      <c r="C14" s="15"/>
      <c r="D14" s="15"/>
      <c r="E14" s="15"/>
      <c r="F14" s="15"/>
      <c r="G14" s="394"/>
      <c r="H14" s="306">
        <v>2</v>
      </c>
      <c r="I14" s="306" t="s">
        <v>414</v>
      </c>
      <c r="J14" s="15">
        <v>-650</v>
      </c>
      <c r="K14" s="15">
        <v>48</v>
      </c>
      <c r="L14" s="15"/>
      <c r="M14" s="15"/>
      <c r="N14" s="16"/>
      <c r="O14" s="30">
        <v>2</v>
      </c>
      <c r="P14" s="30" t="s">
        <v>69</v>
      </c>
      <c r="Q14" s="30">
        <v>-1400</v>
      </c>
      <c r="R14" s="30">
        <v>-8</v>
      </c>
      <c r="S14" s="30">
        <v>-12</v>
      </c>
      <c r="T14" s="30">
        <v>-6</v>
      </c>
      <c r="U14" s="30">
        <v>0</v>
      </c>
      <c r="V14" s="30">
        <v>-1540</v>
      </c>
      <c r="W14" s="30">
        <v>-650</v>
      </c>
      <c r="X14" s="30">
        <v>-200</v>
      </c>
      <c r="Y14" s="30">
        <v>0</v>
      </c>
      <c r="Z14" s="30">
        <v>-133</v>
      </c>
      <c r="AA14" s="30">
        <v>-152</v>
      </c>
      <c r="AB14" s="30">
        <v>-475</v>
      </c>
      <c r="AC14" s="30">
        <v>-160</v>
      </c>
      <c r="AD14" s="30">
        <v>-200</v>
      </c>
      <c r="AE14" s="30">
        <v>-1722</v>
      </c>
      <c r="AF14" s="30">
        <v>-1130</v>
      </c>
      <c r="AG14" s="30">
        <v>-110</v>
      </c>
      <c r="AH14" s="30">
        <v>-70</v>
      </c>
      <c r="AI14" s="30">
        <v>-500</v>
      </c>
      <c r="AK14">
        <v>2</v>
      </c>
      <c r="AL14" t="s">
        <v>69</v>
      </c>
      <c r="AM14">
        <v>-800</v>
      </c>
      <c r="AN14">
        <v>-8</v>
      </c>
      <c r="AO14">
        <v>-12</v>
      </c>
      <c r="AP14">
        <v>-6</v>
      </c>
      <c r="AR14">
        <v>-590</v>
      </c>
      <c r="AS14">
        <v>-2.2000000000000002</v>
      </c>
      <c r="AT14">
        <v>-608</v>
      </c>
      <c r="AV14">
        <v>-133</v>
      </c>
      <c r="AW14">
        <v>-152</v>
      </c>
      <c r="AX14">
        <v>-570</v>
      </c>
      <c r="AY14">
        <v>-160</v>
      </c>
      <c r="AZ14">
        <v>-160</v>
      </c>
      <c r="BA14">
        <v>-1130</v>
      </c>
      <c r="BB14">
        <v>-110</v>
      </c>
      <c r="BC14">
        <v>-5</v>
      </c>
      <c r="BD14">
        <v>-500</v>
      </c>
    </row>
    <row r="15" spans="1:56" x14ac:dyDescent="0.25">
      <c r="A15" s="388"/>
      <c r="B15" s="15"/>
      <c r="C15" s="15"/>
      <c r="D15" s="15"/>
      <c r="E15" s="15"/>
      <c r="F15" s="15"/>
      <c r="G15" s="394"/>
      <c r="H15" s="306">
        <v>3</v>
      </c>
      <c r="I15" s="306" t="s">
        <v>412</v>
      </c>
      <c r="J15" s="15">
        <v>-575</v>
      </c>
      <c r="K15" s="15">
        <v>33</v>
      </c>
      <c r="L15" s="15"/>
      <c r="M15" s="15"/>
      <c r="N15" s="16"/>
      <c r="O15" s="30">
        <v>3</v>
      </c>
      <c r="P15" s="30" t="s">
        <v>70</v>
      </c>
      <c r="Q15" s="30">
        <v>-1400</v>
      </c>
      <c r="R15" s="30">
        <v>-8</v>
      </c>
      <c r="S15" s="30">
        <v>-12</v>
      </c>
      <c r="T15" s="30">
        <v>-6</v>
      </c>
      <c r="U15" s="30">
        <v>0</v>
      </c>
      <c r="V15" s="30">
        <v>-1540</v>
      </c>
      <c r="W15" s="30">
        <v>-650</v>
      </c>
      <c r="X15" s="30">
        <v>-200</v>
      </c>
      <c r="Y15" s="30">
        <v>0</v>
      </c>
      <c r="Z15" s="30">
        <v>-140</v>
      </c>
      <c r="AA15" s="30">
        <v>-160</v>
      </c>
      <c r="AB15" s="30">
        <v>-500</v>
      </c>
      <c r="AC15" s="30">
        <v>-160</v>
      </c>
      <c r="AD15" s="30">
        <v>-200</v>
      </c>
      <c r="AE15" s="30">
        <v>-1794</v>
      </c>
      <c r="AF15" s="30">
        <v>0</v>
      </c>
      <c r="AG15" s="30">
        <v>0</v>
      </c>
      <c r="AH15" s="30">
        <v>0</v>
      </c>
      <c r="AI15" s="30">
        <v>-500</v>
      </c>
      <c r="AK15">
        <v>3</v>
      </c>
      <c r="AL15" t="s">
        <v>70</v>
      </c>
      <c r="AM15">
        <v>-800</v>
      </c>
      <c r="AN15">
        <v>-8</v>
      </c>
      <c r="AO15">
        <v>-12</v>
      </c>
      <c r="AP15">
        <v>-6</v>
      </c>
      <c r="AR15">
        <v>-590</v>
      </c>
      <c r="AS15">
        <v>-2.2000000000000002</v>
      </c>
      <c r="AT15">
        <v>-675</v>
      </c>
      <c r="AV15">
        <v>-140</v>
      </c>
      <c r="AW15">
        <v>-160</v>
      </c>
      <c r="AX15">
        <v>-600</v>
      </c>
      <c r="AY15">
        <v>-160</v>
      </c>
      <c r="AZ15">
        <v>-160</v>
      </c>
      <c r="BD15">
        <v>-500</v>
      </c>
    </row>
    <row r="16" spans="1:56" x14ac:dyDescent="0.25">
      <c r="A16" s="389"/>
      <c r="B16" s="391" t="s">
        <v>1</v>
      </c>
      <c r="C16" s="389"/>
      <c r="D16" s="389" t="s">
        <v>448</v>
      </c>
      <c r="E16" s="389" t="s">
        <v>482</v>
      </c>
      <c r="F16" s="389" t="s">
        <v>373</v>
      </c>
      <c r="G16" s="394"/>
      <c r="H16" s="306">
        <v>1</v>
      </c>
      <c r="I16" s="306" t="s">
        <v>415</v>
      </c>
      <c r="J16" s="306"/>
      <c r="K16" s="306">
        <f>Lastbil2Vogn</f>
        <v>-625</v>
      </c>
      <c r="L16" s="306">
        <f>Normer!C18</f>
        <v>24</v>
      </c>
      <c r="M16" s="306">
        <f>LastbilHast</f>
        <v>51.5</v>
      </c>
      <c r="N16" s="16"/>
    </row>
    <row r="17" spans="1:56" x14ac:dyDescent="0.25">
      <c r="A17" s="389">
        <v>1</v>
      </c>
      <c r="B17" s="389" t="s">
        <v>481</v>
      </c>
      <c r="C17" s="389" t="s">
        <v>183</v>
      </c>
      <c r="D17" s="389">
        <f>Lastbil2Vogn</f>
        <v>-625</v>
      </c>
      <c r="E17" s="395">
        <f>Normer!D19*Rundballevægt</f>
        <v>12.32</v>
      </c>
      <c r="F17" s="395">
        <f>LastbilHast</f>
        <v>51.5</v>
      </c>
      <c r="G17" s="394"/>
      <c r="H17" s="306">
        <v>2</v>
      </c>
      <c r="I17" s="306" t="s">
        <v>416</v>
      </c>
      <c r="J17" s="306"/>
      <c r="K17" s="306">
        <f>TraktorHalmvogn</f>
        <v>-550</v>
      </c>
      <c r="L17" s="306">
        <f>Normer!C7</f>
        <v>24</v>
      </c>
      <c r="M17" s="306">
        <f>TraktorHastVej</f>
        <v>25</v>
      </c>
      <c r="N17" s="16"/>
      <c r="O17" s="30" t="s">
        <v>83</v>
      </c>
      <c r="P17" s="30"/>
      <c r="Q17" s="30"/>
      <c r="R17" s="30"/>
      <c r="S17" s="30"/>
      <c r="T17" s="30"/>
      <c r="U17" s="30"/>
      <c r="V17" s="30"/>
      <c r="W17" s="30"/>
      <c r="X17" s="30"/>
      <c r="Y17" s="30"/>
      <c r="Z17" s="30"/>
      <c r="AA17" s="30"/>
      <c r="AB17" s="30"/>
      <c r="AC17" s="30"/>
      <c r="AD17" s="30"/>
      <c r="AE17" s="30"/>
      <c r="AF17" s="30"/>
      <c r="AG17" s="30"/>
      <c r="AH17" s="30"/>
      <c r="AI17" s="30"/>
      <c r="AK17" t="s">
        <v>141</v>
      </c>
    </row>
    <row r="18" spans="1:56" x14ac:dyDescent="0.25">
      <c r="A18" s="389">
        <v>2</v>
      </c>
      <c r="B18" s="389" t="s">
        <v>472</v>
      </c>
      <c r="C18" s="389" t="s">
        <v>193</v>
      </c>
      <c r="D18" s="389">
        <f>TraktorHalmvogn</f>
        <v>-550</v>
      </c>
      <c r="E18" s="395">
        <f>Normer!D8*Rundballevægt</f>
        <v>7.5600000000000005</v>
      </c>
      <c r="F18" s="395">
        <f>TraktorHastVej</f>
        <v>25</v>
      </c>
      <c r="G18" s="394"/>
      <c r="H18" s="15"/>
      <c r="I18" s="15"/>
      <c r="J18" s="15"/>
      <c r="K18" s="15"/>
      <c r="L18" s="15"/>
      <c r="M18" s="15"/>
      <c r="N18" s="16"/>
      <c r="O18" s="30">
        <v>1</v>
      </c>
      <c r="P18" s="30" t="s">
        <v>68</v>
      </c>
      <c r="Q18" s="30">
        <v>-1400</v>
      </c>
      <c r="R18" s="30">
        <v>-8</v>
      </c>
      <c r="S18" s="30" t="s">
        <v>65</v>
      </c>
      <c r="T18" s="30" t="s">
        <v>65</v>
      </c>
      <c r="U18" s="30">
        <v>0</v>
      </c>
      <c r="V18" s="30">
        <v>-1540</v>
      </c>
      <c r="W18" s="30">
        <v>-650</v>
      </c>
      <c r="X18" s="30">
        <v>-200</v>
      </c>
      <c r="Y18" s="30">
        <v>-20</v>
      </c>
      <c r="Z18" s="30">
        <v>-133</v>
      </c>
      <c r="AA18" s="30">
        <v>-152</v>
      </c>
      <c r="AB18" s="30">
        <v>-475</v>
      </c>
      <c r="AC18" s="30">
        <v>-160</v>
      </c>
      <c r="AD18" s="30">
        <v>-200</v>
      </c>
      <c r="AE18" s="30">
        <v>-1497</v>
      </c>
      <c r="AF18" s="30">
        <v>0</v>
      </c>
      <c r="AG18" s="30">
        <v>0</v>
      </c>
      <c r="AH18" s="30">
        <v>0</v>
      </c>
      <c r="AI18" s="30">
        <v>-500</v>
      </c>
      <c r="AK18">
        <v>1</v>
      </c>
      <c r="AL18" t="s">
        <v>68</v>
      </c>
      <c r="AM18">
        <v>-800</v>
      </c>
      <c r="AN18">
        <v>-8</v>
      </c>
      <c r="AO18">
        <v>-12</v>
      </c>
      <c r="AP18">
        <v>-6</v>
      </c>
      <c r="AR18">
        <v>-590</v>
      </c>
      <c r="AS18">
        <v>-2.2000000000000002</v>
      </c>
      <c r="AT18">
        <v>-608</v>
      </c>
      <c r="AU18">
        <v>-20</v>
      </c>
      <c r="AW18">
        <v>-152</v>
      </c>
      <c r="AX18">
        <v>-570</v>
      </c>
      <c r="AY18">
        <v>-160</v>
      </c>
      <c r="AZ18">
        <v>-160</v>
      </c>
      <c r="BD18">
        <v>-500</v>
      </c>
    </row>
    <row r="19" spans="1:56" x14ac:dyDescent="0.25">
      <c r="A19" s="388"/>
      <c r="B19" s="388"/>
      <c r="C19" s="388"/>
      <c r="D19" s="388"/>
      <c r="E19" s="388"/>
      <c r="F19" s="388"/>
      <c r="G19" s="394"/>
      <c r="H19" s="306">
        <v>1</v>
      </c>
      <c r="I19" s="306" t="s">
        <v>357</v>
      </c>
      <c r="J19" s="306">
        <f>Normer!Y16</f>
        <v>277</v>
      </c>
      <c r="K19" s="15"/>
      <c r="L19" s="15"/>
      <c r="M19" s="15"/>
      <c r="N19" s="16"/>
      <c r="O19" s="30">
        <v>2</v>
      </c>
      <c r="P19" s="30" t="s">
        <v>69</v>
      </c>
      <c r="Q19" s="30">
        <v>-1400</v>
      </c>
      <c r="R19" s="30">
        <v>-8</v>
      </c>
      <c r="S19" s="30" t="s">
        <v>65</v>
      </c>
      <c r="T19" s="30" t="s">
        <v>65</v>
      </c>
      <c r="U19" s="30">
        <v>0</v>
      </c>
      <c r="V19" s="30">
        <v>-1540</v>
      </c>
      <c r="W19" s="30">
        <v>-650</v>
      </c>
      <c r="X19" s="30">
        <v>-200</v>
      </c>
      <c r="Y19" s="30">
        <v>-20</v>
      </c>
      <c r="Z19" s="30">
        <v>-133</v>
      </c>
      <c r="AA19" s="30">
        <v>-152</v>
      </c>
      <c r="AB19" s="30">
        <v>-475</v>
      </c>
      <c r="AC19" s="30">
        <v>-160</v>
      </c>
      <c r="AD19" s="30">
        <v>-200</v>
      </c>
      <c r="AE19" s="30">
        <v>-1722</v>
      </c>
      <c r="AF19" s="30">
        <v>-1130</v>
      </c>
      <c r="AG19" s="30">
        <v>-110</v>
      </c>
      <c r="AH19" s="30">
        <v>-70</v>
      </c>
      <c r="AI19" s="30">
        <v>-500</v>
      </c>
      <c r="AK19">
        <v>2</v>
      </c>
      <c r="AL19" t="s">
        <v>69</v>
      </c>
      <c r="AM19">
        <v>-800</v>
      </c>
      <c r="AN19">
        <v>-8</v>
      </c>
      <c r="AO19">
        <v>-12</v>
      </c>
      <c r="AP19">
        <v>-6</v>
      </c>
      <c r="AR19">
        <v>-590</v>
      </c>
      <c r="AS19">
        <v>-2.2000000000000002</v>
      </c>
      <c r="AT19">
        <v>-608</v>
      </c>
      <c r="AU19">
        <v>-20</v>
      </c>
      <c r="AW19">
        <v>-152</v>
      </c>
      <c r="AX19">
        <v>-570</v>
      </c>
      <c r="AY19">
        <v>-160</v>
      </c>
      <c r="AZ19">
        <v>-160</v>
      </c>
      <c r="BA19">
        <v>-1130</v>
      </c>
      <c r="BB19">
        <v>-110</v>
      </c>
      <c r="BC19">
        <v>-5</v>
      </c>
      <c r="BD19">
        <v>-500</v>
      </c>
    </row>
    <row r="20" spans="1:56" x14ac:dyDescent="0.25">
      <c r="A20" s="389"/>
      <c r="B20" s="391" t="s">
        <v>308</v>
      </c>
      <c r="C20" s="389"/>
      <c r="D20" s="389"/>
      <c r="E20" s="389"/>
      <c r="F20" s="389"/>
      <c r="G20" s="394"/>
      <c r="H20" s="306">
        <v>2</v>
      </c>
      <c r="I20" s="306" t="s">
        <v>358</v>
      </c>
      <c r="J20" s="306">
        <f>MetanBr</f>
        <v>277</v>
      </c>
      <c r="K20" s="15"/>
      <c r="L20" s="15"/>
      <c r="M20" s="15"/>
      <c r="N20" s="16"/>
      <c r="O20" s="30">
        <v>3</v>
      </c>
      <c r="P20" s="30" t="s">
        <v>70</v>
      </c>
      <c r="Q20" s="30">
        <v>-1400</v>
      </c>
      <c r="R20" s="30">
        <v>-8</v>
      </c>
      <c r="S20" s="30" t="s">
        <v>65</v>
      </c>
      <c r="T20" s="30" t="s">
        <v>65</v>
      </c>
      <c r="U20" s="30">
        <v>0</v>
      </c>
      <c r="V20" s="30">
        <v>-1540</v>
      </c>
      <c r="W20" s="30">
        <v>-650</v>
      </c>
      <c r="X20" s="30">
        <v>-200</v>
      </c>
      <c r="Y20" s="30">
        <v>-20</v>
      </c>
      <c r="Z20" s="30">
        <v>-140</v>
      </c>
      <c r="AA20" s="30">
        <v>-160</v>
      </c>
      <c r="AB20" s="30">
        <v>-500</v>
      </c>
      <c r="AC20" s="30">
        <v>-160</v>
      </c>
      <c r="AD20" s="30">
        <v>-200</v>
      </c>
      <c r="AE20" s="30">
        <v>-1700</v>
      </c>
      <c r="AF20" s="30">
        <v>0</v>
      </c>
      <c r="AG20" s="30">
        <v>0</v>
      </c>
      <c r="AH20" s="30">
        <v>0</v>
      </c>
      <c r="AI20" s="30">
        <v>-500</v>
      </c>
      <c r="AK20">
        <v>3</v>
      </c>
      <c r="AL20" t="s">
        <v>70</v>
      </c>
      <c r="AM20">
        <v>-800</v>
      </c>
      <c r="AN20">
        <v>-8</v>
      </c>
      <c r="AO20">
        <v>-12</v>
      </c>
      <c r="AP20">
        <v>-6</v>
      </c>
      <c r="AR20">
        <v>-590</v>
      </c>
      <c r="AS20">
        <v>-2.2000000000000002</v>
      </c>
      <c r="AT20">
        <v>-675</v>
      </c>
      <c r="AU20">
        <v>-22</v>
      </c>
      <c r="AW20">
        <v>-160</v>
      </c>
      <c r="AX20">
        <v>-600</v>
      </c>
      <c r="AY20">
        <v>-160</v>
      </c>
      <c r="AZ20">
        <v>-160</v>
      </c>
      <c r="BD20">
        <v>-500</v>
      </c>
    </row>
    <row r="21" spans="1:56" ht="15.75" thickBot="1" x14ac:dyDescent="0.3">
      <c r="A21" s="389"/>
      <c r="B21" s="389" t="s">
        <v>309</v>
      </c>
      <c r="C21" s="389"/>
      <c r="D21" s="389"/>
      <c r="E21" s="389"/>
      <c r="F21" s="389"/>
      <c r="G21" s="18"/>
      <c r="H21" s="306">
        <v>3</v>
      </c>
      <c r="I21" s="313" t="s">
        <v>417</v>
      </c>
      <c r="J21" s="313">
        <f>MetanHvedehalm</f>
        <v>230</v>
      </c>
      <c r="K21" s="314"/>
      <c r="L21" s="314"/>
      <c r="M21" s="314"/>
      <c r="N21" s="315"/>
    </row>
    <row r="22" spans="1:56" x14ac:dyDescent="0.25">
      <c r="A22" s="389"/>
      <c r="B22" s="389" t="s">
        <v>310</v>
      </c>
      <c r="C22" s="389"/>
      <c r="D22" s="389"/>
      <c r="E22" s="389"/>
      <c r="F22" s="389"/>
      <c r="G22" s="18"/>
      <c r="H22" s="15"/>
    </row>
    <row r="23" spans="1:56" x14ac:dyDescent="0.25">
      <c r="A23" s="389"/>
      <c r="B23" s="389" t="s">
        <v>311</v>
      </c>
      <c r="C23" s="389"/>
      <c r="D23" s="389"/>
      <c r="E23" s="389"/>
      <c r="F23" s="389"/>
      <c r="G23" s="18"/>
      <c r="H23" s="15"/>
      <c r="O23" s="30">
        <v>1</v>
      </c>
      <c r="P23" s="30" t="s">
        <v>87</v>
      </c>
      <c r="Q23" s="30" t="s">
        <v>90</v>
      </c>
      <c r="R23" s="30" t="s">
        <v>14</v>
      </c>
      <c r="S23" s="30" t="s">
        <v>29</v>
      </c>
      <c r="T23" s="30" t="s">
        <v>89</v>
      </c>
      <c r="U23" s="30" t="s">
        <v>28</v>
      </c>
      <c r="V23" s="30" t="s">
        <v>15</v>
      </c>
      <c r="W23" s="30" t="s">
        <v>16</v>
      </c>
      <c r="X23" s="30" t="s">
        <v>21</v>
      </c>
      <c r="Y23" s="30" t="s">
        <v>99</v>
      </c>
      <c r="AK23">
        <v>1</v>
      </c>
      <c r="AL23" t="s">
        <v>68</v>
      </c>
      <c r="AM23">
        <f>AM4*AM13</f>
        <v>-1600</v>
      </c>
      <c r="AN23">
        <f t="shared" ref="AN23:BD25" si="0">AN4*AN13</f>
        <v>-1176</v>
      </c>
      <c r="AO23">
        <f t="shared" si="0"/>
        <v>-432</v>
      </c>
      <c r="AP23">
        <f t="shared" si="0"/>
        <v>-906</v>
      </c>
      <c r="AQ23">
        <f t="shared" si="0"/>
        <v>0</v>
      </c>
      <c r="AR23">
        <f t="shared" si="0"/>
        <v>-590</v>
      </c>
      <c r="AS23" s="53">
        <f t="shared" si="0"/>
        <v>-336.6</v>
      </c>
      <c r="AT23">
        <f t="shared" si="0"/>
        <v>-608</v>
      </c>
      <c r="AU23">
        <f t="shared" si="0"/>
        <v>0</v>
      </c>
      <c r="AV23">
        <f t="shared" si="0"/>
        <v>-133</v>
      </c>
      <c r="AW23">
        <f t="shared" si="0"/>
        <v>-152</v>
      </c>
      <c r="AX23">
        <f t="shared" si="0"/>
        <v>-570</v>
      </c>
      <c r="AY23">
        <f t="shared" si="0"/>
        <v>-160</v>
      </c>
      <c r="AZ23">
        <f t="shared" si="0"/>
        <v>-320</v>
      </c>
      <c r="BA23">
        <f t="shared" si="0"/>
        <v>0</v>
      </c>
      <c r="BB23">
        <f t="shared" si="0"/>
        <v>0</v>
      </c>
      <c r="BC23">
        <f t="shared" si="0"/>
        <v>0</v>
      </c>
      <c r="BD23">
        <f t="shared" si="0"/>
        <v>-500</v>
      </c>
    </row>
    <row r="24" spans="1:56" x14ac:dyDescent="0.25">
      <c r="A24" s="389"/>
      <c r="B24" s="389"/>
      <c r="C24" s="389"/>
      <c r="D24" s="389"/>
      <c r="E24" s="389"/>
      <c r="F24" s="389"/>
      <c r="G24" s="18"/>
      <c r="H24" s="15"/>
      <c r="O24" s="30">
        <v>2</v>
      </c>
      <c r="P24" s="30" t="s">
        <v>88</v>
      </c>
      <c r="Q24" s="30" t="s">
        <v>121</v>
      </c>
      <c r="R24" s="30" t="s">
        <v>122</v>
      </c>
      <c r="S24" s="30" t="s">
        <v>123</v>
      </c>
      <c r="T24" s="31" t="s">
        <v>113</v>
      </c>
      <c r="U24" s="31" t="s">
        <v>15</v>
      </c>
      <c r="V24" s="30" t="s">
        <v>16</v>
      </c>
      <c r="W24" s="30" t="s">
        <v>21</v>
      </c>
      <c r="X24" s="30" t="s">
        <v>21</v>
      </c>
      <c r="Y24" s="30" t="s">
        <v>100</v>
      </c>
      <c r="AK24">
        <v>2</v>
      </c>
      <c r="AL24" t="s">
        <v>69</v>
      </c>
      <c r="AM24">
        <f t="shared" ref="AM24:BB25" si="1">AM5*AM14</f>
        <v>-1600</v>
      </c>
      <c r="AN24">
        <f t="shared" si="1"/>
        <v>-1280</v>
      </c>
      <c r="AO24">
        <f t="shared" si="1"/>
        <v>-468</v>
      </c>
      <c r="AP24">
        <f t="shared" si="1"/>
        <v>-990</v>
      </c>
      <c r="AQ24">
        <f t="shared" si="1"/>
        <v>0</v>
      </c>
      <c r="AR24">
        <f t="shared" si="1"/>
        <v>-590</v>
      </c>
      <c r="AS24" s="53">
        <f t="shared" si="1"/>
        <v>-371.8</v>
      </c>
      <c r="AT24">
        <f t="shared" si="1"/>
        <v>-608</v>
      </c>
      <c r="AU24">
        <f t="shared" si="1"/>
        <v>0</v>
      </c>
      <c r="AV24">
        <f t="shared" si="1"/>
        <v>-133</v>
      </c>
      <c r="AW24">
        <f t="shared" si="1"/>
        <v>-152</v>
      </c>
      <c r="AX24">
        <f t="shared" si="1"/>
        <v>-570</v>
      </c>
      <c r="AY24">
        <f t="shared" si="1"/>
        <v>-160</v>
      </c>
      <c r="AZ24">
        <f t="shared" si="1"/>
        <v>-320</v>
      </c>
      <c r="BA24">
        <f t="shared" si="1"/>
        <v>-1130</v>
      </c>
      <c r="BB24">
        <f t="shared" si="1"/>
        <v>-220</v>
      </c>
      <c r="BC24">
        <f t="shared" si="0"/>
        <v>-350</v>
      </c>
      <c r="BD24">
        <f t="shared" si="0"/>
        <v>-500</v>
      </c>
    </row>
    <row r="25" spans="1:56" ht="28.5" customHeight="1" x14ac:dyDescent="0.25">
      <c r="A25" s="389"/>
      <c r="B25" s="392" t="s">
        <v>47</v>
      </c>
      <c r="C25" s="389"/>
      <c r="D25" s="389"/>
      <c r="E25" s="389"/>
      <c r="F25" s="389"/>
      <c r="G25" s="18"/>
      <c r="H25" s="15"/>
      <c r="I25" s="15"/>
      <c r="O25" s="34"/>
      <c r="P25" s="34"/>
      <c r="Q25" s="34"/>
      <c r="R25" s="34"/>
      <c r="S25" s="34"/>
      <c r="T25" s="34"/>
      <c r="U25" s="34"/>
      <c r="V25" s="34"/>
      <c r="W25" s="34"/>
      <c r="X25" s="34"/>
      <c r="AK25">
        <v>3</v>
      </c>
      <c r="AL25" t="s">
        <v>145</v>
      </c>
      <c r="AM25">
        <f t="shared" si="1"/>
        <v>-1600</v>
      </c>
      <c r="AN25">
        <f t="shared" si="0"/>
        <v>-1096</v>
      </c>
      <c r="AO25">
        <f t="shared" si="0"/>
        <v>-468</v>
      </c>
      <c r="AP25">
        <f t="shared" si="0"/>
        <v>-864</v>
      </c>
      <c r="AQ25">
        <f t="shared" si="0"/>
        <v>0</v>
      </c>
      <c r="AR25">
        <f t="shared" si="0"/>
        <v>-590</v>
      </c>
      <c r="AS25" s="53">
        <f t="shared" si="0"/>
        <v>-369.6</v>
      </c>
      <c r="AT25">
        <f t="shared" si="0"/>
        <v>-675</v>
      </c>
      <c r="AU25">
        <f t="shared" si="0"/>
        <v>0</v>
      </c>
      <c r="AV25">
        <f t="shared" si="0"/>
        <v>-140</v>
      </c>
      <c r="AW25">
        <f t="shared" si="0"/>
        <v>-160</v>
      </c>
      <c r="AX25">
        <f t="shared" si="0"/>
        <v>-600</v>
      </c>
      <c r="AY25">
        <f t="shared" si="0"/>
        <v>-160</v>
      </c>
      <c r="AZ25">
        <f t="shared" si="0"/>
        <v>-320</v>
      </c>
      <c r="BA25">
        <f t="shared" si="0"/>
        <v>0</v>
      </c>
      <c r="BB25">
        <f t="shared" si="0"/>
        <v>0</v>
      </c>
      <c r="BC25">
        <f t="shared" si="0"/>
        <v>0</v>
      </c>
      <c r="BD25">
        <f t="shared" si="0"/>
        <v>-500</v>
      </c>
    </row>
    <row r="26" spans="1:56" ht="21" x14ac:dyDescent="0.35">
      <c r="A26" s="15"/>
      <c r="B26" s="19" t="s">
        <v>43</v>
      </c>
      <c r="C26" s="20" t="e">
        <f>(#REF!*#REF!)/(#REF!*#REF!)</f>
        <v>#REF!</v>
      </c>
      <c r="D26" s="19"/>
      <c r="E26" s="19"/>
      <c r="F26" s="19"/>
      <c r="G26" s="18"/>
      <c r="H26" s="15"/>
      <c r="J26" s="479"/>
      <c r="K26" s="479"/>
      <c r="AK26">
        <v>4</v>
      </c>
      <c r="AL26" t="s">
        <v>146</v>
      </c>
      <c r="AM26">
        <f t="shared" ref="AM26:BD26" si="2">AM8*AM18</f>
        <v>-1600</v>
      </c>
      <c r="AN26">
        <f t="shared" si="2"/>
        <v>-240</v>
      </c>
      <c r="AO26">
        <f t="shared" si="2"/>
        <v>-180</v>
      </c>
      <c r="AP26">
        <f t="shared" si="2"/>
        <v>0</v>
      </c>
      <c r="AQ26">
        <f t="shared" si="2"/>
        <v>0</v>
      </c>
      <c r="AR26">
        <f t="shared" si="2"/>
        <v>-590</v>
      </c>
      <c r="AS26">
        <f t="shared" si="2"/>
        <v>-336.6</v>
      </c>
      <c r="AT26">
        <f t="shared" si="2"/>
        <v>-608</v>
      </c>
      <c r="AU26">
        <f t="shared" si="2"/>
        <v>-640</v>
      </c>
      <c r="AV26">
        <f t="shared" si="2"/>
        <v>0</v>
      </c>
      <c r="AW26">
        <f t="shared" si="2"/>
        <v>-152</v>
      </c>
      <c r="AX26">
        <f t="shared" si="2"/>
        <v>-570</v>
      </c>
      <c r="AY26">
        <f t="shared" si="2"/>
        <v>-160</v>
      </c>
      <c r="AZ26">
        <f t="shared" si="2"/>
        <v>-320</v>
      </c>
      <c r="BA26">
        <f t="shared" si="2"/>
        <v>0</v>
      </c>
      <c r="BB26">
        <f t="shared" si="2"/>
        <v>0</v>
      </c>
      <c r="BC26">
        <f t="shared" si="2"/>
        <v>0</v>
      </c>
      <c r="BD26">
        <f t="shared" si="2"/>
        <v>-500</v>
      </c>
    </row>
    <row r="27" spans="1:56" ht="15.75" thickBot="1" x14ac:dyDescent="0.3">
      <c r="A27" s="15"/>
      <c r="B27" s="19" t="s">
        <v>44</v>
      </c>
      <c r="C27" s="21" t="e">
        <f>CEILING((1/C26)*60,1)</f>
        <v>#REF!</v>
      </c>
      <c r="D27" s="19"/>
      <c r="E27" s="19"/>
      <c r="F27" s="19"/>
      <c r="G27" s="18"/>
      <c r="H27" s="15"/>
      <c r="O27" s="30">
        <v>1</v>
      </c>
      <c r="P27" s="30" t="s">
        <v>87</v>
      </c>
      <c r="Q27" s="30">
        <v>2300</v>
      </c>
      <c r="R27" s="30">
        <v>500</v>
      </c>
      <c r="S27" s="30">
        <v>3</v>
      </c>
      <c r="T27" s="30">
        <v>50</v>
      </c>
      <c r="U27" s="30">
        <v>16</v>
      </c>
      <c r="V27" s="32">
        <v>0.08</v>
      </c>
      <c r="W27" s="30">
        <v>10</v>
      </c>
      <c r="X27" s="32">
        <v>0.08</v>
      </c>
      <c r="AK27">
        <v>5</v>
      </c>
      <c r="AL27" t="s">
        <v>147</v>
      </c>
      <c r="AM27">
        <f t="shared" ref="AM27:BB28" si="3">AM9*AM19</f>
        <v>-1600</v>
      </c>
      <c r="AN27">
        <f t="shared" si="3"/>
        <v>-240</v>
      </c>
      <c r="AO27">
        <f t="shared" si="3"/>
        <v>-180</v>
      </c>
      <c r="AP27">
        <f t="shared" si="3"/>
        <v>0</v>
      </c>
      <c r="AQ27">
        <f t="shared" si="3"/>
        <v>0</v>
      </c>
      <c r="AR27">
        <f t="shared" si="3"/>
        <v>-590</v>
      </c>
      <c r="AS27">
        <f t="shared" si="3"/>
        <v>-371.8</v>
      </c>
      <c r="AT27">
        <f t="shared" si="3"/>
        <v>-608</v>
      </c>
      <c r="AU27">
        <f t="shared" si="3"/>
        <v>-700</v>
      </c>
      <c r="AV27">
        <f t="shared" si="3"/>
        <v>0</v>
      </c>
      <c r="AW27">
        <f t="shared" si="3"/>
        <v>-152</v>
      </c>
      <c r="AX27">
        <f t="shared" si="3"/>
        <v>-570</v>
      </c>
      <c r="AY27">
        <f t="shared" si="3"/>
        <v>-160</v>
      </c>
      <c r="AZ27">
        <f t="shared" si="3"/>
        <v>-320</v>
      </c>
      <c r="BA27">
        <f t="shared" si="3"/>
        <v>-1130</v>
      </c>
      <c r="BB27">
        <f t="shared" si="3"/>
        <v>-220</v>
      </c>
      <c r="BC27">
        <f t="shared" ref="AN27:BD28" si="4">BC9*BC19</f>
        <v>-350</v>
      </c>
      <c r="BD27">
        <f t="shared" si="4"/>
        <v>-500</v>
      </c>
    </row>
    <row r="28" spans="1:56" ht="21" x14ac:dyDescent="0.35">
      <c r="A28" s="15"/>
      <c r="B28" s="19" t="s">
        <v>45</v>
      </c>
      <c r="C28" s="19" t="e">
        <f>CEILING(((2*#REF!/#REF!)+#REF!)*60,1)</f>
        <v>#REF!</v>
      </c>
      <c r="D28" s="19"/>
      <c r="E28" s="19"/>
      <c r="F28" s="19"/>
      <c r="G28" s="394"/>
      <c r="H28" s="480" t="s">
        <v>457</v>
      </c>
      <c r="I28" s="477"/>
      <c r="J28" s="477"/>
      <c r="K28" s="477"/>
      <c r="L28" s="303"/>
      <c r="M28" s="303"/>
      <c r="N28" s="304"/>
      <c r="O28" s="30">
        <v>2</v>
      </c>
      <c r="P28" s="30" t="s">
        <v>88</v>
      </c>
      <c r="Q28" s="30"/>
      <c r="R28" s="30"/>
      <c r="S28" s="30"/>
      <c r="T28" s="30"/>
      <c r="U28" s="30"/>
      <c r="V28" s="32"/>
      <c r="W28" s="30"/>
      <c r="X28" s="32"/>
      <c r="AK28">
        <v>6</v>
      </c>
      <c r="AL28" t="s">
        <v>144</v>
      </c>
      <c r="AM28">
        <f t="shared" si="3"/>
        <v>-1600</v>
      </c>
      <c r="AN28">
        <f t="shared" si="4"/>
        <v>-240</v>
      </c>
      <c r="AO28">
        <f t="shared" si="4"/>
        <v>-180</v>
      </c>
      <c r="AP28">
        <f t="shared" si="4"/>
        <v>0</v>
      </c>
      <c r="AQ28">
        <f t="shared" si="4"/>
        <v>0</v>
      </c>
      <c r="AR28">
        <f t="shared" si="4"/>
        <v>-590</v>
      </c>
      <c r="AS28">
        <f t="shared" si="4"/>
        <v>-369.6</v>
      </c>
      <c r="AT28">
        <f t="shared" si="4"/>
        <v>-675</v>
      </c>
      <c r="AU28">
        <f t="shared" si="4"/>
        <v>-638</v>
      </c>
      <c r="AV28">
        <f t="shared" si="4"/>
        <v>0</v>
      </c>
      <c r="AW28">
        <f t="shared" si="4"/>
        <v>-160</v>
      </c>
      <c r="AX28">
        <f t="shared" si="4"/>
        <v>-600</v>
      </c>
      <c r="AY28">
        <f t="shared" si="4"/>
        <v>-160</v>
      </c>
      <c r="AZ28">
        <f t="shared" si="4"/>
        <v>-320</v>
      </c>
      <c r="BA28">
        <f t="shared" si="4"/>
        <v>0</v>
      </c>
      <c r="BB28">
        <f t="shared" si="4"/>
        <v>0</v>
      </c>
      <c r="BC28">
        <f t="shared" si="4"/>
        <v>0</v>
      </c>
      <c r="BD28">
        <f t="shared" si="4"/>
        <v>-500</v>
      </c>
    </row>
    <row r="29" spans="1:56" x14ac:dyDescent="0.25">
      <c r="A29" s="15"/>
      <c r="B29" s="19" t="s">
        <v>49</v>
      </c>
      <c r="C29" s="21" t="e">
        <f>CEILING((C28/C27)+1,1)</f>
        <v>#REF!</v>
      </c>
      <c r="D29" s="19"/>
      <c r="E29" s="19"/>
      <c r="F29" s="19"/>
      <c r="G29" s="394"/>
      <c r="H29" s="15"/>
      <c r="I29" s="15"/>
      <c r="J29" s="15"/>
      <c r="K29" s="15"/>
      <c r="L29" s="15"/>
      <c r="M29" s="15"/>
      <c r="N29" s="16"/>
      <c r="O29" s="34"/>
      <c r="P29" s="34"/>
      <c r="Q29" s="34"/>
      <c r="R29" s="34"/>
      <c r="S29" s="34"/>
      <c r="T29" s="34"/>
      <c r="U29" s="34"/>
      <c r="V29" s="45"/>
      <c r="W29" s="34"/>
      <c r="X29" s="45"/>
    </row>
    <row r="30" spans="1:56" x14ac:dyDescent="0.25">
      <c r="A30" s="15"/>
      <c r="B30" s="19"/>
      <c r="C30" s="19"/>
      <c r="D30" s="19"/>
      <c r="E30" s="19"/>
      <c r="F30" s="19"/>
      <c r="G30" s="394"/>
      <c r="H30" s="306"/>
      <c r="I30" s="306"/>
      <c r="J30" s="306" t="s">
        <v>406</v>
      </c>
      <c r="K30" s="306" t="s">
        <v>383</v>
      </c>
      <c r="L30" s="306" t="s">
        <v>458</v>
      </c>
      <c r="M30" s="306" t="s">
        <v>365</v>
      </c>
      <c r="N30" s="16"/>
    </row>
    <row r="31" spans="1:56" x14ac:dyDescent="0.25">
      <c r="A31" s="15"/>
      <c r="B31" s="387" t="s">
        <v>46</v>
      </c>
      <c r="C31" s="19"/>
      <c r="D31" s="19"/>
      <c r="E31" s="19"/>
      <c r="F31" s="19"/>
      <c r="G31" s="394"/>
      <c r="H31" s="306">
        <v>1</v>
      </c>
      <c r="I31" s="306" t="s">
        <v>390</v>
      </c>
      <c r="J31" s="306">
        <v>1001500</v>
      </c>
      <c r="K31" s="307">
        <f>PMT(Rente,Løbetid10,J31)</f>
        <v>-132866.77035645314</v>
      </c>
      <c r="L31" s="308">
        <v>0.9</v>
      </c>
      <c r="M31" s="306">
        <v>5000</v>
      </c>
      <c r="N31" s="16"/>
      <c r="O31" s="30">
        <v>1</v>
      </c>
      <c r="P31" s="30" t="s">
        <v>3</v>
      </c>
      <c r="Q31" s="30" t="s">
        <v>66</v>
      </c>
      <c r="R31" s="30" t="e">
        <f>#REF!</f>
        <v>#REF!</v>
      </c>
      <c r="S31" s="30" t="e">
        <f>#REF!</f>
        <v>#REF!</v>
      </c>
    </row>
    <row r="32" spans="1:56" x14ac:dyDescent="0.25">
      <c r="A32" s="15"/>
      <c r="B32" s="22" t="str">
        <f>B26</f>
        <v>Antal læs/time</v>
      </c>
      <c r="C32" s="22" t="e">
        <f>C26</f>
        <v>#REF!</v>
      </c>
      <c r="D32" s="19"/>
      <c r="E32" s="19"/>
      <c r="F32" s="19"/>
      <c r="G32" s="394"/>
      <c r="H32" s="306">
        <v>2</v>
      </c>
      <c r="I32" s="306" t="s">
        <v>403</v>
      </c>
      <c r="J32" s="306">
        <v>1816500</v>
      </c>
      <c r="K32" s="307">
        <f>PMT(Rente,Løbetid10,J32)</f>
        <v>-240991.00184972258</v>
      </c>
      <c r="L32" s="308">
        <v>0.9</v>
      </c>
      <c r="M32" s="306">
        <v>5000</v>
      </c>
      <c r="N32" s="16"/>
      <c r="O32" s="30">
        <v>2</v>
      </c>
      <c r="P32" s="30" t="s">
        <v>91</v>
      </c>
      <c r="Q32" s="30" t="s">
        <v>92</v>
      </c>
      <c r="R32" s="30" t="e">
        <f>#REF!</f>
        <v>#REF!</v>
      </c>
      <c r="S32" s="30" t="e">
        <f>#REF!</f>
        <v>#REF!</v>
      </c>
    </row>
    <row r="33" spans="1:28" x14ac:dyDescent="0.25">
      <c r="A33" s="15"/>
      <c r="B33" s="22" t="str">
        <f>B27</f>
        <v>Læssetid direkte under høst, min/læs</v>
      </c>
      <c r="C33" s="23" t="e">
        <f>C27</f>
        <v>#REF!</v>
      </c>
      <c r="D33" s="19"/>
      <c r="E33" s="19"/>
      <c r="F33" s="19"/>
      <c r="G33" s="394"/>
      <c r="H33" s="306">
        <v>3</v>
      </c>
      <c r="I33" s="306" t="s">
        <v>404</v>
      </c>
      <c r="J33" s="306">
        <v>1391500</v>
      </c>
      <c r="K33" s="307">
        <f>PMT(Rente,Løbetid10,J33)</f>
        <v>-184607.2001507784</v>
      </c>
      <c r="L33" s="308">
        <v>0.9</v>
      </c>
      <c r="M33" s="306">
        <v>5000</v>
      </c>
      <c r="N33" s="16"/>
    </row>
    <row r="34" spans="1:28" x14ac:dyDescent="0.25">
      <c r="A34" s="15"/>
      <c r="B34" s="19" t="s">
        <v>48</v>
      </c>
      <c r="C34" s="19" t="e">
        <f>CEILING((2*#REF!/#REF!+#REF!)*60,1)</f>
        <v>#REF!</v>
      </c>
      <c r="D34" s="19"/>
      <c r="E34" s="19"/>
      <c r="F34" s="19"/>
      <c r="G34" s="394"/>
      <c r="H34" s="306">
        <v>4</v>
      </c>
      <c r="I34" s="306" t="s">
        <v>405</v>
      </c>
      <c r="J34" s="306">
        <v>1816500</v>
      </c>
      <c r="K34" s="307">
        <f>PMT(Rente,Løbetid10,J34)</f>
        <v>-240991.00184972258</v>
      </c>
      <c r="L34" s="308">
        <v>0.8</v>
      </c>
      <c r="M34" s="306">
        <v>5000</v>
      </c>
      <c r="N34" s="16"/>
      <c r="O34" s="30">
        <v>1</v>
      </c>
      <c r="P34" s="30" t="s">
        <v>93</v>
      </c>
      <c r="Q34" s="30" t="s">
        <v>94</v>
      </c>
      <c r="R34" s="30" t="e">
        <f>#REF!</f>
        <v>#REF!</v>
      </c>
      <c r="S34" s="30" t="s">
        <v>86</v>
      </c>
      <c r="T34" s="30" t="s">
        <v>106</v>
      </c>
      <c r="U34" s="30" t="e">
        <f>#REF!</f>
        <v>#REF!</v>
      </c>
      <c r="V34" s="30" t="s">
        <v>107</v>
      </c>
      <c r="W34" s="30" t="e">
        <f>#REF!</f>
        <v>#REF!</v>
      </c>
      <c r="X34" s="30" t="s">
        <v>65</v>
      </c>
      <c r="Y34" s="30">
        <v>0</v>
      </c>
      <c r="Z34" s="30" t="s">
        <v>109</v>
      </c>
      <c r="AA34" s="30" t="s">
        <v>110</v>
      </c>
      <c r="AB34" s="30" t="e">
        <f>#REF!</f>
        <v>#REF!</v>
      </c>
    </row>
    <row r="35" spans="1:28" x14ac:dyDescent="0.25">
      <c r="A35" s="15"/>
      <c r="B35" s="19" t="s">
        <v>49</v>
      </c>
      <c r="C35" s="24" t="e">
        <f>CEILING(C34/C33,1)+1</f>
        <v>#REF!</v>
      </c>
      <c r="D35" s="19"/>
      <c r="E35" s="19"/>
      <c r="F35" s="19"/>
      <c r="G35" s="16"/>
      <c r="H35" s="15"/>
      <c r="I35" s="15"/>
      <c r="J35" s="15" t="s">
        <v>432</v>
      </c>
      <c r="K35" s="15"/>
      <c r="L35" s="15"/>
      <c r="M35" s="15"/>
      <c r="N35" s="16"/>
      <c r="O35" s="30">
        <v>2</v>
      </c>
      <c r="P35" s="30" t="s">
        <v>101</v>
      </c>
      <c r="Q35" s="30" t="s">
        <v>95</v>
      </c>
      <c r="R35" s="30" t="e">
        <f>#REF!</f>
        <v>#REF!</v>
      </c>
      <c r="S35" s="30" t="s">
        <v>104</v>
      </c>
      <c r="T35" s="30" t="s">
        <v>106</v>
      </c>
      <c r="U35" s="30" t="e">
        <f>#REF!</f>
        <v>#REF!</v>
      </c>
      <c r="V35" s="30" t="s">
        <v>107</v>
      </c>
      <c r="W35" s="30" t="e">
        <f>#REF!</f>
        <v>#REF!</v>
      </c>
      <c r="X35" s="30" t="s">
        <v>108</v>
      </c>
      <c r="Y35" s="30">
        <v>-750</v>
      </c>
      <c r="Z35" s="30" t="s">
        <v>65</v>
      </c>
      <c r="AA35" s="30" t="s">
        <v>65</v>
      </c>
      <c r="AB35" s="30">
        <v>0</v>
      </c>
    </row>
    <row r="36" spans="1:28" x14ac:dyDescent="0.25">
      <c r="A36" s="15"/>
      <c r="B36" s="19"/>
      <c r="C36" s="19"/>
      <c r="D36" s="19"/>
      <c r="E36" s="19"/>
      <c r="F36" s="19"/>
      <c r="H36" s="305">
        <v>1</v>
      </c>
      <c r="I36" s="306" t="s">
        <v>407</v>
      </c>
      <c r="J36" s="306">
        <f>Normer!TraktorFrontVogn</f>
        <v>-650</v>
      </c>
      <c r="K36" s="17"/>
      <c r="L36" s="306" t="s">
        <v>411</v>
      </c>
      <c r="M36" s="309">
        <f>LæsFrontBig</f>
        <v>0.60606060606060597</v>
      </c>
      <c r="N36" s="310" t="s">
        <v>161</v>
      </c>
      <c r="O36" s="30">
        <v>3</v>
      </c>
      <c r="P36" s="30" t="s">
        <v>102</v>
      </c>
      <c r="Q36" s="30" t="s">
        <v>103</v>
      </c>
      <c r="R36" s="30"/>
      <c r="S36" s="30" t="s">
        <v>105</v>
      </c>
      <c r="T36" s="30" t="s">
        <v>106</v>
      </c>
      <c r="U36" s="30"/>
      <c r="V36" s="30"/>
      <c r="W36" s="30"/>
      <c r="X36" s="30" t="s">
        <v>65</v>
      </c>
      <c r="Y36" s="30">
        <v>0</v>
      </c>
      <c r="Z36" s="30" t="s">
        <v>65</v>
      </c>
      <c r="AA36" s="30" t="s">
        <v>65</v>
      </c>
      <c r="AB36" s="30">
        <v>0</v>
      </c>
    </row>
    <row r="37" spans="1:28" x14ac:dyDescent="0.25">
      <c r="A37" s="15"/>
      <c r="B37" s="19"/>
      <c r="C37" s="19"/>
      <c r="D37" s="19"/>
      <c r="E37" s="19"/>
      <c r="F37" s="19"/>
      <c r="H37" s="305">
        <v>2</v>
      </c>
      <c r="I37" s="306" t="s">
        <v>408</v>
      </c>
      <c r="J37" s="306">
        <f>Teleskoplæsser</f>
        <v>-800</v>
      </c>
      <c r="K37" s="17"/>
      <c r="L37" s="306" t="s">
        <v>411</v>
      </c>
      <c r="M37" s="311">
        <f>LæsseTeleBig</f>
        <v>0.82</v>
      </c>
      <c r="N37" s="310" t="s">
        <v>161</v>
      </c>
    </row>
    <row r="38" spans="1:28" ht="15.75" thickBot="1" x14ac:dyDescent="0.3">
      <c r="A38" s="15"/>
      <c r="B38" s="25"/>
      <c r="C38" s="25"/>
      <c r="D38" s="25"/>
      <c r="E38" s="25"/>
      <c r="F38" s="19"/>
      <c r="H38" s="18"/>
      <c r="I38" s="15"/>
      <c r="J38" s="15" t="s">
        <v>459</v>
      </c>
      <c r="K38" s="15" t="s">
        <v>198</v>
      </c>
      <c r="L38" s="15"/>
      <c r="M38" s="15"/>
      <c r="N38" s="16"/>
      <c r="O38" s="30"/>
      <c r="P38" s="30" t="s">
        <v>114</v>
      </c>
      <c r="Q38" s="30" t="s">
        <v>98</v>
      </c>
      <c r="R38" s="30" t="s">
        <v>117</v>
      </c>
      <c r="S38" s="30" t="s">
        <v>118</v>
      </c>
      <c r="T38" s="30" t="s">
        <v>119</v>
      </c>
      <c r="U38" s="30" t="s">
        <v>97</v>
      </c>
      <c r="V38" s="30" t="s">
        <v>15</v>
      </c>
      <c r="W38" s="30" t="s">
        <v>16</v>
      </c>
      <c r="X38" s="30" t="s">
        <v>21</v>
      </c>
    </row>
    <row r="39" spans="1:28" x14ac:dyDescent="0.25">
      <c r="H39" s="305">
        <v>1</v>
      </c>
      <c r="I39" s="306" t="s">
        <v>413</v>
      </c>
      <c r="J39" s="15">
        <v>-625</v>
      </c>
      <c r="K39" s="15">
        <v>35</v>
      </c>
      <c r="L39" s="15"/>
      <c r="M39" s="15"/>
      <c r="N39" s="16"/>
      <c r="O39" s="30">
        <v>1</v>
      </c>
      <c r="P39" s="30">
        <v>0</v>
      </c>
      <c r="Q39" s="30">
        <v>0</v>
      </c>
      <c r="R39" s="30">
        <v>0</v>
      </c>
      <c r="S39" s="30">
        <v>0</v>
      </c>
      <c r="T39" s="30">
        <v>0</v>
      </c>
      <c r="U39" s="30">
        <v>0</v>
      </c>
      <c r="V39" s="30"/>
      <c r="W39" s="30"/>
      <c r="X39" s="30"/>
    </row>
    <row r="40" spans="1:28" x14ac:dyDescent="0.25">
      <c r="H40" s="305">
        <v>2</v>
      </c>
      <c r="I40" s="306" t="s">
        <v>414</v>
      </c>
      <c r="J40" s="15">
        <v>-650</v>
      </c>
      <c r="K40" s="15">
        <v>48</v>
      </c>
      <c r="L40" s="15"/>
      <c r="M40" s="15"/>
      <c r="N40" s="16"/>
      <c r="O40" s="30">
        <v>2</v>
      </c>
      <c r="P40" s="30">
        <v>1</v>
      </c>
      <c r="Q40" s="30">
        <v>2000</v>
      </c>
      <c r="R40" s="30">
        <v>210420</v>
      </c>
      <c r="S40" s="30">
        <v>106080</v>
      </c>
      <c r="T40" s="30">
        <v>128000</v>
      </c>
      <c r="U40" s="30">
        <f>25080+2500</f>
        <v>27580</v>
      </c>
      <c r="V40" s="32">
        <v>0.08</v>
      </c>
      <c r="W40" s="30">
        <v>10</v>
      </c>
      <c r="X40" s="32">
        <v>0.08</v>
      </c>
    </row>
    <row r="41" spans="1:28" x14ac:dyDescent="0.25">
      <c r="H41" s="305">
        <v>3</v>
      </c>
      <c r="I41" s="306" t="s">
        <v>412</v>
      </c>
      <c r="J41" s="15">
        <v>-575</v>
      </c>
      <c r="K41" s="15">
        <v>33</v>
      </c>
      <c r="L41" s="15"/>
      <c r="M41" s="15"/>
      <c r="N41" s="16"/>
      <c r="O41" s="30">
        <v>3</v>
      </c>
      <c r="P41" s="30">
        <v>2</v>
      </c>
      <c r="Q41" s="30">
        <v>3000</v>
      </c>
      <c r="R41" s="30">
        <v>270914</v>
      </c>
      <c r="S41" s="30">
        <v>148590</v>
      </c>
      <c r="T41" s="30">
        <v>148000</v>
      </c>
      <c r="U41" s="30">
        <f>31086+3500</f>
        <v>34586</v>
      </c>
      <c r="V41" s="32">
        <v>0.08</v>
      </c>
      <c r="W41" s="30">
        <v>10</v>
      </c>
      <c r="X41" s="32">
        <v>0.08</v>
      </c>
    </row>
    <row r="42" spans="1:28" x14ac:dyDescent="0.25">
      <c r="H42" s="305">
        <v>1</v>
      </c>
      <c r="I42" s="306" t="s">
        <v>415</v>
      </c>
      <c r="J42" s="306"/>
      <c r="K42" s="306">
        <f>Lastbil2Vogn</f>
        <v>-625</v>
      </c>
      <c r="L42" s="306">
        <f>Normer!C44</f>
        <v>0</v>
      </c>
      <c r="M42" s="306">
        <f>LastbilHast</f>
        <v>51.5</v>
      </c>
      <c r="N42" s="16"/>
      <c r="O42" s="30">
        <v>4</v>
      </c>
      <c r="P42" s="30">
        <v>3</v>
      </c>
      <c r="Q42" s="30">
        <v>4000</v>
      </c>
      <c r="R42" s="30">
        <v>323900</v>
      </c>
      <c r="S42" s="30">
        <v>187460</v>
      </c>
      <c r="T42" s="30">
        <v>165000</v>
      </c>
      <c r="U42" s="30">
        <f>39600+4500</f>
        <v>44100</v>
      </c>
      <c r="V42" s="32">
        <v>0.08</v>
      </c>
      <c r="W42" s="30">
        <v>10</v>
      </c>
      <c r="X42" s="32">
        <v>0.08</v>
      </c>
    </row>
    <row r="43" spans="1:28" x14ac:dyDescent="0.25">
      <c r="H43" s="305">
        <v>2</v>
      </c>
      <c r="I43" s="306" t="s">
        <v>416</v>
      </c>
      <c r="J43" s="306"/>
      <c r="K43" s="306">
        <f>TraktorHalmvogn</f>
        <v>-550</v>
      </c>
      <c r="L43" s="306">
        <f>Normer!C33</f>
        <v>0</v>
      </c>
      <c r="M43" s="306">
        <f>TraktorHastVej</f>
        <v>25</v>
      </c>
      <c r="N43" s="16"/>
      <c r="O43" s="30">
        <v>5</v>
      </c>
      <c r="P43" s="30">
        <v>4</v>
      </c>
      <c r="Q43" s="30">
        <v>5000</v>
      </c>
      <c r="R43" s="30">
        <v>415500</v>
      </c>
      <c r="S43" s="30">
        <v>202020</v>
      </c>
      <c r="T43" s="30">
        <v>175000</v>
      </c>
      <c r="U43" s="30">
        <f>42000+4500</f>
        <v>46500</v>
      </c>
      <c r="V43" s="32">
        <v>0.08</v>
      </c>
      <c r="W43" s="30">
        <v>10</v>
      </c>
      <c r="X43" s="32">
        <v>0.08</v>
      </c>
    </row>
    <row r="44" spans="1:28" x14ac:dyDescent="0.25">
      <c r="B44" t="s">
        <v>139</v>
      </c>
      <c r="H44" s="18"/>
      <c r="I44" s="15"/>
      <c r="J44" s="15"/>
      <c r="K44" s="15"/>
      <c r="L44" s="15"/>
      <c r="M44" s="15"/>
      <c r="N44" s="16"/>
    </row>
    <row r="45" spans="1:28" x14ac:dyDescent="0.25">
      <c r="H45" s="305">
        <v>1</v>
      </c>
      <c r="I45" s="306" t="s">
        <v>454</v>
      </c>
      <c r="J45" s="378">
        <f>MetanRapsEX</f>
        <v>356.5</v>
      </c>
      <c r="K45" s="15"/>
      <c r="L45" s="15"/>
      <c r="M45" s="15"/>
      <c r="N45" s="16"/>
      <c r="S45" s="34"/>
      <c r="T45" s="34"/>
      <c r="U45" s="34"/>
      <c r="V45" s="34"/>
    </row>
    <row r="46" spans="1:28" x14ac:dyDescent="0.25">
      <c r="B46" t="s">
        <v>126</v>
      </c>
      <c r="H46" s="305">
        <v>2</v>
      </c>
      <c r="I46" s="306" t="s">
        <v>455</v>
      </c>
      <c r="J46" s="378">
        <f>MetanRapsBR</f>
        <v>356.5</v>
      </c>
      <c r="K46" s="15"/>
      <c r="L46" s="15"/>
      <c r="M46" s="15"/>
      <c r="N46" s="16"/>
      <c r="O46" s="41" t="s">
        <v>23</v>
      </c>
      <c r="P46" s="35"/>
      <c r="Q46" s="35"/>
      <c r="S46" s="34"/>
      <c r="T46" s="34"/>
      <c r="U46" s="34"/>
      <c r="V46" s="34"/>
    </row>
    <row r="47" spans="1:28" ht="15.75" thickBot="1" x14ac:dyDescent="0.3">
      <c r="H47" s="312">
        <v>3</v>
      </c>
      <c r="I47" s="313" t="s">
        <v>456</v>
      </c>
      <c r="J47" s="379">
        <f>MetanRaps</f>
        <v>310</v>
      </c>
      <c r="K47" s="314"/>
      <c r="L47" s="314"/>
      <c r="M47" s="314"/>
      <c r="N47" s="315"/>
      <c r="O47" s="35"/>
      <c r="P47" s="35" t="s">
        <v>24</v>
      </c>
      <c r="Q47" s="35" t="s">
        <v>31</v>
      </c>
      <c r="S47" s="34"/>
      <c r="T47" s="34"/>
      <c r="U47" s="34"/>
      <c r="V47" s="34"/>
    </row>
    <row r="48" spans="1:28" x14ac:dyDescent="0.25">
      <c r="O48" s="35" t="s">
        <v>29</v>
      </c>
      <c r="P48" s="35" t="e">
        <f>#REF!</f>
        <v>#REF!</v>
      </c>
      <c r="Q48" s="42" t="e">
        <f>P48*(1-0.0666)</f>
        <v>#REF!</v>
      </c>
      <c r="S48" s="34"/>
      <c r="T48" s="34"/>
      <c r="U48" s="34"/>
      <c r="V48" s="34"/>
    </row>
    <row r="49" spans="15:22" x14ac:dyDescent="0.25">
      <c r="O49" s="35" t="s">
        <v>27</v>
      </c>
      <c r="P49" s="35" t="e">
        <f>#REF!</f>
        <v>#REF!</v>
      </c>
      <c r="Q49" s="35" t="e">
        <f>P49*0.9</f>
        <v>#REF!</v>
      </c>
      <c r="S49" s="34"/>
      <c r="T49" s="34"/>
      <c r="U49" s="34"/>
      <c r="V49" s="34"/>
    </row>
    <row r="50" spans="15:22" x14ac:dyDescent="0.25">
      <c r="O50" s="36" t="s">
        <v>28</v>
      </c>
      <c r="P50" s="36" t="e">
        <f>#REF!</f>
        <v>#REF!</v>
      </c>
      <c r="Q50" s="36" t="e">
        <f>P50*(1-0.0625)</f>
        <v>#REF!</v>
      </c>
      <c r="S50" s="34"/>
      <c r="T50" s="34"/>
      <c r="U50" s="34"/>
      <c r="V50" s="34"/>
    </row>
    <row r="51" spans="15:22" x14ac:dyDescent="0.25">
      <c r="O51" s="35" t="s">
        <v>30</v>
      </c>
      <c r="P51" s="37" t="e">
        <f>P48*P49*P50</f>
        <v>#REF!</v>
      </c>
      <c r="Q51" s="37" t="e">
        <f>Q48*Q49*Q50</f>
        <v>#REF!</v>
      </c>
      <c r="S51" s="34"/>
      <c r="T51" s="34"/>
      <c r="U51" s="34"/>
      <c r="V51" s="34"/>
    </row>
    <row r="52" spans="15:22" x14ac:dyDescent="0.25">
      <c r="O52" s="35"/>
      <c r="P52" s="35"/>
      <c r="Q52" s="35"/>
      <c r="S52" s="34"/>
      <c r="T52" s="34"/>
      <c r="U52" s="34"/>
      <c r="V52" s="34"/>
    </row>
    <row r="53" spans="15:22" x14ac:dyDescent="0.25">
      <c r="O53" s="43" t="s">
        <v>32</v>
      </c>
      <c r="P53" s="35"/>
      <c r="Q53" s="35"/>
      <c r="S53" s="34"/>
      <c r="T53" s="34"/>
      <c r="U53" s="34"/>
      <c r="V53" s="34"/>
    </row>
    <row r="54" spans="15:22" x14ac:dyDescent="0.25">
      <c r="O54" s="35" t="s">
        <v>33</v>
      </c>
      <c r="P54" s="37" t="e">
        <f>#REF!</f>
        <v>#REF!</v>
      </c>
      <c r="Q54" s="35"/>
      <c r="S54" s="34"/>
      <c r="T54" s="34"/>
      <c r="U54" s="34"/>
      <c r="V54" s="34"/>
    </row>
    <row r="55" spans="15:22" x14ac:dyDescent="0.25">
      <c r="O55" s="35" t="s">
        <v>14</v>
      </c>
      <c r="P55" s="35" t="e">
        <f>#REF!</f>
        <v>#REF!</v>
      </c>
      <c r="Q55" s="35"/>
      <c r="S55" s="34"/>
      <c r="T55" s="34"/>
      <c r="U55" s="34"/>
      <c r="V55" s="34"/>
    </row>
    <row r="56" spans="15:22" x14ac:dyDescent="0.25">
      <c r="O56" s="35"/>
      <c r="P56" s="35"/>
      <c r="Q56" s="35"/>
      <c r="S56" s="34"/>
      <c r="T56" s="34"/>
      <c r="U56" s="34"/>
      <c r="V56" s="34"/>
    </row>
    <row r="57" spans="15:22" x14ac:dyDescent="0.25">
      <c r="O57" s="35" t="s">
        <v>34</v>
      </c>
      <c r="P57" s="38" t="e">
        <f>Q50*1*Q48</f>
        <v>#REF!</v>
      </c>
      <c r="Q57" s="35"/>
      <c r="S57" s="34"/>
      <c r="T57" s="34"/>
      <c r="U57" s="34"/>
      <c r="V57" s="34"/>
    </row>
    <row r="58" spans="15:22" x14ac:dyDescent="0.25">
      <c r="O58" s="35" t="s">
        <v>35</v>
      </c>
      <c r="P58" s="39" t="e">
        <f>(P50*1*P55+1*2*P54)</f>
        <v>#REF!</v>
      </c>
      <c r="Q58" s="35"/>
      <c r="S58" s="34"/>
      <c r="T58" s="34"/>
      <c r="U58" s="34"/>
      <c r="V58" s="34"/>
    </row>
    <row r="59" spans="15:22" x14ac:dyDescent="0.25">
      <c r="O59" s="35"/>
      <c r="P59" s="39"/>
      <c r="Q59" s="35"/>
      <c r="R59" s="47"/>
      <c r="S59" s="34"/>
      <c r="T59" s="34"/>
      <c r="U59" s="34"/>
      <c r="V59" s="34"/>
    </row>
    <row r="60" spans="15:22" x14ac:dyDescent="0.25">
      <c r="O60" s="35" t="s">
        <v>39</v>
      </c>
      <c r="P60" s="37" t="e">
        <f>IF(#REF!*#REF!&gt;#REF!*Tabeller!Q51,(CEILING((#REF!*#REF!-Tabeller!Q51*#REF!)/(Tabeller!P57*#REF!),1))*P58,0)</f>
        <v>#REF!</v>
      </c>
      <c r="Q60" s="35"/>
      <c r="R60" s="46"/>
      <c r="S60" s="34"/>
      <c r="T60" s="34"/>
      <c r="U60" s="34"/>
      <c r="V60" s="34"/>
    </row>
    <row r="61" spans="15:22" x14ac:dyDescent="0.25">
      <c r="O61" s="35"/>
      <c r="P61" s="35"/>
      <c r="Q61" s="35"/>
      <c r="S61" s="34"/>
      <c r="T61" s="34"/>
      <c r="U61" s="34"/>
      <c r="V61" s="34"/>
    </row>
    <row r="62" spans="15:22" x14ac:dyDescent="0.25">
      <c r="O62" s="35" t="s">
        <v>36</v>
      </c>
      <c r="P62" s="37" t="e">
        <f>(P54*(2*P49+P50)+P49*P50*P55)+P60</f>
        <v>#REF!</v>
      </c>
      <c r="Q62" s="35"/>
      <c r="S62" s="34"/>
      <c r="T62" s="34"/>
      <c r="U62" s="34"/>
      <c r="V62" s="34"/>
    </row>
    <row r="63" spans="15:22" x14ac:dyDescent="0.25">
      <c r="O63" s="44" t="s">
        <v>38</v>
      </c>
      <c r="P63" s="40" t="e">
        <f>P62*1.1</f>
        <v>#REF!</v>
      </c>
      <c r="Q63" s="35"/>
      <c r="S63" s="34"/>
      <c r="T63" s="34"/>
      <c r="U63" s="34"/>
      <c r="V63" s="34"/>
    </row>
    <row r="64" spans="15:22" x14ac:dyDescent="0.25">
      <c r="O64" s="35" t="s">
        <v>37</v>
      </c>
      <c r="P64" s="37" t="e">
        <f>P63*#REF!*-1</f>
        <v>#REF!</v>
      </c>
      <c r="Q64" s="35"/>
      <c r="S64" s="34"/>
      <c r="T64" s="34"/>
      <c r="U64" s="34"/>
      <c r="V64" s="34"/>
    </row>
    <row r="65" spans="15:22" x14ac:dyDescent="0.25">
      <c r="O65" s="35"/>
      <c r="P65" s="35"/>
      <c r="Q65" s="35"/>
      <c r="S65" s="34"/>
      <c r="T65" s="34"/>
      <c r="U65" s="34"/>
      <c r="V65" s="34"/>
    </row>
  </sheetData>
  <mergeCells count="5">
    <mergeCell ref="B1:D1"/>
    <mergeCell ref="H1:K1"/>
    <mergeCell ref="J26:K26"/>
    <mergeCell ref="O1:AA1"/>
    <mergeCell ref="H28:K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theme="5" tint="0.59999389629810485"/>
  </sheetPr>
  <dimension ref="A1:AN68"/>
  <sheetViews>
    <sheetView topLeftCell="A37" workbookViewId="0">
      <selection activeCell="N5" sqref="N5"/>
    </sheetView>
  </sheetViews>
  <sheetFormatPr defaultRowHeight="15" x14ac:dyDescent="0.25"/>
  <cols>
    <col min="1" max="1" width="43.28515625" style="4" customWidth="1"/>
    <col min="2" max="2" width="7.42578125" style="4" customWidth="1"/>
    <col min="3" max="3" width="12.5703125" style="4" bestFit="1" customWidth="1"/>
    <col min="4" max="4" width="11" style="33" bestFit="1" customWidth="1"/>
    <col min="5" max="5" width="9.140625" style="4"/>
    <col min="6" max="6" width="15" style="4" customWidth="1"/>
    <col min="7" max="7" width="9.140625" style="4"/>
    <col min="8" max="8" width="31" style="4" customWidth="1"/>
    <col min="9" max="9" width="10.140625" style="4" customWidth="1"/>
    <col min="10" max="10" width="4.140625" style="33" customWidth="1"/>
    <col min="11" max="11" width="11.5703125" style="4" customWidth="1"/>
    <col min="12" max="12" width="4.28515625" style="4" customWidth="1"/>
    <col min="13" max="13" width="11.7109375" style="4" customWidth="1"/>
    <col min="14" max="14" width="3.5703125" style="4" customWidth="1"/>
    <col min="15" max="15" width="9.42578125" style="4" customWidth="1"/>
    <col min="16" max="16" width="4.28515625" style="4" customWidth="1"/>
    <col min="17" max="17" width="14.42578125" style="4" customWidth="1"/>
    <col min="18" max="18" width="9.5703125" style="4" customWidth="1"/>
    <col min="19" max="19" width="4.28515625" style="4" customWidth="1"/>
    <col min="20" max="20" width="9.140625" style="4"/>
    <col min="21" max="21" width="3.28515625" style="4" customWidth="1"/>
    <col min="22" max="24" width="9.140625" style="4"/>
    <col min="25" max="25" width="46" style="4" bestFit="1" customWidth="1"/>
    <col min="26" max="26" width="8.140625" style="4" customWidth="1"/>
    <col min="27" max="27" width="10.7109375" style="4" bestFit="1" customWidth="1"/>
    <col min="28" max="28" width="8.28515625" style="33" bestFit="1" customWidth="1"/>
    <col min="29" max="29" width="7" style="4" customWidth="1"/>
    <col min="30" max="30" width="9.140625" style="4"/>
    <col min="31" max="31" width="5.42578125" style="4" customWidth="1"/>
    <col min="32" max="32" width="9.140625" style="4"/>
    <col min="33" max="33" width="5" style="4" customWidth="1"/>
    <col min="34" max="34" width="11.7109375" style="4" customWidth="1"/>
    <col min="35" max="35" width="9.140625" style="4"/>
    <col min="36" max="36" width="5.5703125" style="4" customWidth="1"/>
    <col min="37" max="37" width="9.140625" style="4"/>
    <col min="38" max="38" width="3.28515625" style="4" customWidth="1"/>
    <col min="39" max="16384" width="9.140625" style="4"/>
  </cols>
  <sheetData>
    <row r="1" spans="1:40" ht="21" x14ac:dyDescent="0.35">
      <c r="A1" s="3" t="s">
        <v>350</v>
      </c>
      <c r="Y1" s="159"/>
      <c r="Z1" s="140"/>
      <c r="AA1" s="140"/>
      <c r="AB1" s="167"/>
      <c r="AJ1" s="4" t="s">
        <v>151</v>
      </c>
      <c r="AL1" s="4">
        <v>2</v>
      </c>
      <c r="AN1" s="4">
        <v>1</v>
      </c>
    </row>
    <row r="2" spans="1:40" x14ac:dyDescent="0.25">
      <c r="Y2" s="163"/>
      <c r="Z2" s="142"/>
      <c r="AA2" s="142"/>
      <c r="AB2" s="168"/>
      <c r="AL2" s="4">
        <v>2</v>
      </c>
      <c r="AM2" s="4">
        <v>1</v>
      </c>
      <c r="AN2" s="4">
        <v>1</v>
      </c>
    </row>
    <row r="3" spans="1:40" x14ac:dyDescent="0.25">
      <c r="A3" s="5" t="s">
        <v>351</v>
      </c>
      <c r="H3" s="5" t="s">
        <v>386</v>
      </c>
      <c r="Q3" s="74"/>
      <c r="Y3" s="166" t="s">
        <v>424</v>
      </c>
      <c r="Z3" s="142"/>
      <c r="AA3" s="134"/>
      <c r="AB3" s="169"/>
      <c r="AL3" s="4">
        <v>2</v>
      </c>
      <c r="AN3" s="4">
        <v>2</v>
      </c>
    </row>
    <row r="4" spans="1:40" x14ac:dyDescent="0.25">
      <c r="A4" s="4" t="s">
        <v>351</v>
      </c>
      <c r="C4" s="77">
        <f>MARK_STØRRELSE*UDBYTTE_PR_HA</f>
        <v>676</v>
      </c>
      <c r="D4" s="96" t="s">
        <v>127</v>
      </c>
      <c r="H4" s="64" t="s">
        <v>351</v>
      </c>
      <c r="I4" s="127">
        <f>StrawYield</f>
        <v>676</v>
      </c>
      <c r="J4" s="33" t="s">
        <v>127</v>
      </c>
      <c r="Y4" s="163"/>
      <c r="Z4" s="142"/>
      <c r="AA4" s="134"/>
      <c r="AB4" s="169"/>
      <c r="AL4" s="4">
        <v>1</v>
      </c>
      <c r="AN4" s="4">
        <v>1</v>
      </c>
    </row>
    <row r="5" spans="1:40" ht="17.25" x14ac:dyDescent="0.25">
      <c r="A5" s="7" t="s">
        <v>352</v>
      </c>
      <c r="C5" s="85">
        <v>200</v>
      </c>
      <c r="D5" s="94" t="s">
        <v>165</v>
      </c>
      <c r="H5" s="64" t="s">
        <v>387</v>
      </c>
      <c r="I5" s="127">
        <f>I4/Densitet_bigballe</f>
        <v>4225</v>
      </c>
      <c r="J5" s="33" t="s">
        <v>163</v>
      </c>
      <c r="Y5" s="162" t="s">
        <v>425</v>
      </c>
      <c r="Z5" s="144"/>
      <c r="AA5" s="182">
        <v>17</v>
      </c>
      <c r="AB5" s="170" t="s">
        <v>111</v>
      </c>
      <c r="AN5" s="4">
        <v>2</v>
      </c>
    </row>
    <row r="6" spans="1:40" ht="17.25" x14ac:dyDescent="0.25">
      <c r="A6" s="4" t="s">
        <v>353</v>
      </c>
      <c r="C6" s="84">
        <v>3.38</v>
      </c>
      <c r="D6" s="95" t="s">
        <v>166</v>
      </c>
      <c r="H6" s="64" t="s">
        <v>388</v>
      </c>
      <c r="I6" s="127">
        <f>I4/DensBr</f>
        <v>1502.2222222222222</v>
      </c>
      <c r="J6" s="33" t="s">
        <v>163</v>
      </c>
      <c r="Y6" s="163"/>
      <c r="Z6" s="142"/>
      <c r="AA6" s="134"/>
      <c r="AB6" s="169"/>
      <c r="AL6" s="4">
        <v>1</v>
      </c>
      <c r="AN6" s="4">
        <v>1</v>
      </c>
    </row>
    <row r="7" spans="1:40" x14ac:dyDescent="0.25">
      <c r="A7" s="4" t="s">
        <v>354</v>
      </c>
      <c r="C7" s="86">
        <v>0.89</v>
      </c>
      <c r="D7" s="97"/>
      <c r="Q7" s="64"/>
      <c r="Y7" s="162" t="s">
        <v>426</v>
      </c>
      <c r="Z7" s="171"/>
      <c r="AA7" s="134"/>
      <c r="AB7" s="169"/>
      <c r="AL7" s="4">
        <v>2</v>
      </c>
      <c r="AN7" s="4">
        <v>1</v>
      </c>
    </row>
    <row r="8" spans="1:40" x14ac:dyDescent="0.25">
      <c r="A8" s="4" t="s">
        <v>419</v>
      </c>
      <c r="C8" s="86">
        <f>0.86</f>
        <v>0.86</v>
      </c>
      <c r="D8" s="330"/>
      <c r="H8" s="5" t="s">
        <v>389</v>
      </c>
      <c r="I8" s="456" t="s">
        <v>402</v>
      </c>
      <c r="J8" s="456"/>
      <c r="K8" s="456" t="s">
        <v>383</v>
      </c>
      <c r="L8" s="456"/>
      <c r="M8" s="455" t="s">
        <v>365</v>
      </c>
      <c r="N8" s="455"/>
      <c r="O8" s="55"/>
      <c r="P8" s="55"/>
      <c r="Q8" s="55"/>
      <c r="W8" s="12"/>
      <c r="Y8" s="172" t="s">
        <v>408</v>
      </c>
      <c r="Z8" s="171"/>
      <c r="AA8" s="135">
        <f>BrLæssetimepris</f>
        <v>-800</v>
      </c>
      <c r="AB8" s="170" t="s">
        <v>169</v>
      </c>
      <c r="AN8" s="4">
        <v>1</v>
      </c>
    </row>
    <row r="9" spans="1:40" ht="17.25" x14ac:dyDescent="0.25">
      <c r="D9" s="98"/>
      <c r="H9" s="4" t="s">
        <v>390</v>
      </c>
      <c r="I9" s="28">
        <f>Tabeller!J4</f>
        <v>1001500</v>
      </c>
      <c r="J9" s="185" t="s">
        <v>159</v>
      </c>
      <c r="K9" s="28">
        <f>Tabeller!K4</f>
        <v>-132866.77035645314</v>
      </c>
      <c r="L9" s="28" t="s">
        <v>159</v>
      </c>
      <c r="M9" s="28">
        <f>Tabeller!M4</f>
        <v>5000</v>
      </c>
      <c r="N9" s="4" t="s">
        <v>163</v>
      </c>
      <c r="Y9" s="172" t="s">
        <v>411</v>
      </c>
      <c r="Z9" s="171"/>
      <c r="AA9" s="135">
        <f>Normer!I23</f>
        <v>0.6</v>
      </c>
      <c r="AB9" s="170" t="s">
        <v>161</v>
      </c>
      <c r="AN9" s="4">
        <v>1</v>
      </c>
    </row>
    <row r="10" spans="1:40" ht="17.25" x14ac:dyDescent="0.25">
      <c r="A10" s="5" t="s">
        <v>355</v>
      </c>
      <c r="D10" s="98"/>
      <c r="H10" s="4" t="s">
        <v>391</v>
      </c>
      <c r="I10" s="28">
        <f>Tabeller!J5</f>
        <v>1816500</v>
      </c>
      <c r="J10" s="185" t="s">
        <v>159</v>
      </c>
      <c r="K10" s="28">
        <f>Tabeller!K5</f>
        <v>-240991.00184972258</v>
      </c>
      <c r="L10" s="28" t="s">
        <v>159</v>
      </c>
      <c r="M10" s="28">
        <f>Tabeller!M5</f>
        <v>5000</v>
      </c>
      <c r="N10" s="4" t="s">
        <v>163</v>
      </c>
      <c r="Y10" s="172"/>
      <c r="Z10" s="171"/>
      <c r="AA10" s="136"/>
      <c r="AB10" s="173"/>
      <c r="AN10" s="4">
        <v>2</v>
      </c>
    </row>
    <row r="11" spans="1:40" ht="18.75" x14ac:dyDescent="0.35">
      <c r="A11" s="50" t="s">
        <v>356</v>
      </c>
      <c r="C11" s="88">
        <f>MetanHvedehalm</f>
        <v>230</v>
      </c>
      <c r="D11" s="99" t="s">
        <v>173</v>
      </c>
      <c r="E11" s="12"/>
      <c r="H11" s="4" t="s">
        <v>392</v>
      </c>
      <c r="I11" s="28">
        <f>Tabeller!J6</f>
        <v>1391500</v>
      </c>
      <c r="J11" s="185" t="s">
        <v>159</v>
      </c>
      <c r="K11" s="28">
        <f>Tabeller!K6</f>
        <v>-184607.2001507784</v>
      </c>
      <c r="L11" s="28" t="s">
        <v>159</v>
      </c>
      <c r="M11" s="28">
        <f>Tabeller!M6</f>
        <v>5000</v>
      </c>
      <c r="N11" s="4" t="s">
        <v>163</v>
      </c>
      <c r="Y11" s="163"/>
      <c r="Z11" s="174"/>
      <c r="AA11" s="134"/>
      <c r="AB11" s="169"/>
      <c r="AN11" s="4">
        <v>1</v>
      </c>
    </row>
    <row r="12" spans="1:40" ht="18.75" x14ac:dyDescent="0.35">
      <c r="A12" s="50" t="s">
        <v>357</v>
      </c>
      <c r="C12" s="89">
        <f>Normer!Y16</f>
        <v>277</v>
      </c>
      <c r="D12" s="99" t="s">
        <v>173</v>
      </c>
      <c r="E12" s="12"/>
      <c r="H12" s="4" t="s">
        <v>393</v>
      </c>
      <c r="I12" s="28">
        <f>Tabeller!J7</f>
        <v>1816500</v>
      </c>
      <c r="J12" s="185" t="s">
        <v>159</v>
      </c>
      <c r="K12" s="28">
        <f>Tabeller!K7</f>
        <v>-240991.00184972258</v>
      </c>
      <c r="L12" s="28" t="s">
        <v>159</v>
      </c>
      <c r="M12" s="28">
        <f>Tabeller!M7</f>
        <v>5000</v>
      </c>
      <c r="N12" s="4" t="s">
        <v>163</v>
      </c>
      <c r="Y12" s="162" t="s">
        <v>427</v>
      </c>
      <c r="Z12" s="144"/>
      <c r="AA12" s="134"/>
      <c r="AB12" s="169"/>
      <c r="AN12" s="4">
        <v>1</v>
      </c>
    </row>
    <row r="13" spans="1:40" ht="18" x14ac:dyDescent="0.35">
      <c r="A13" s="50" t="s">
        <v>358</v>
      </c>
      <c r="C13" s="89">
        <f>MetanBr</f>
        <v>277</v>
      </c>
      <c r="D13" s="99" t="s">
        <v>173</v>
      </c>
      <c r="E13" s="12"/>
      <c r="K13" s="58"/>
      <c r="Y13" s="163" t="str">
        <f>A60</f>
        <v xml:space="preserve">Briquetter, hammer mill, installation </v>
      </c>
      <c r="Z13" s="142"/>
      <c r="AA13" s="137">
        <f>BrPrisSamlet</f>
        <v>-4723000</v>
      </c>
      <c r="AB13" s="175" t="s">
        <v>159</v>
      </c>
      <c r="AN13" s="4">
        <v>3</v>
      </c>
    </row>
    <row r="14" spans="1:40" x14ac:dyDescent="0.25">
      <c r="D14" s="98"/>
      <c r="G14" s="110"/>
      <c r="H14" s="111"/>
      <c r="I14" s="111"/>
      <c r="J14" s="186"/>
      <c r="K14" s="112"/>
      <c r="L14" s="111"/>
      <c r="M14" s="111"/>
      <c r="N14" s="111"/>
      <c r="O14" s="111"/>
      <c r="P14" s="111"/>
      <c r="Q14" s="111"/>
      <c r="R14" s="111"/>
      <c r="S14" s="111"/>
      <c r="T14" s="111"/>
      <c r="U14" s="111"/>
      <c r="V14" s="113"/>
      <c r="Y14" s="163" t="str">
        <f>A61</f>
        <v>Capacity</v>
      </c>
      <c r="Z14" s="142"/>
      <c r="AA14" s="137">
        <f>PresserKap</f>
        <v>10000</v>
      </c>
      <c r="AB14" s="175" t="s">
        <v>446</v>
      </c>
      <c r="AN14" s="4">
        <v>1</v>
      </c>
    </row>
    <row r="15" spans="1:40" x14ac:dyDescent="0.25">
      <c r="A15" s="5" t="s">
        <v>359</v>
      </c>
      <c r="D15" s="100"/>
      <c r="G15" s="114"/>
      <c r="H15" s="12"/>
      <c r="I15" s="12"/>
      <c r="J15" s="104"/>
      <c r="K15" s="12"/>
      <c r="L15" s="12"/>
      <c r="M15" s="12"/>
      <c r="N15" s="12"/>
      <c r="O15" s="12"/>
      <c r="P15" s="12"/>
      <c r="Q15" s="12"/>
      <c r="R15" s="12"/>
      <c r="S15" s="12"/>
      <c r="T15" s="12"/>
      <c r="U15" s="12"/>
      <c r="V15" s="115"/>
      <c r="Y15" s="163" t="str">
        <f>A62</f>
        <v>Operation &amp; maintainence</v>
      </c>
      <c r="Z15" s="142"/>
      <c r="AA15" s="137">
        <f>Br_driftogvedlige</f>
        <v>-76</v>
      </c>
      <c r="AB15" s="175" t="s">
        <v>168</v>
      </c>
      <c r="AN15" s="4">
        <v>1</v>
      </c>
    </row>
    <row r="16" spans="1:40" x14ac:dyDescent="0.25">
      <c r="A16" s="4" t="s">
        <v>360</v>
      </c>
      <c r="C16" s="78">
        <v>0</v>
      </c>
      <c r="D16" s="101" t="s">
        <v>168</v>
      </c>
      <c r="G16" s="114"/>
      <c r="H16" s="116" t="s">
        <v>394</v>
      </c>
      <c r="I16" s="457" t="s">
        <v>365</v>
      </c>
      <c r="J16" s="457"/>
      <c r="K16" s="458" t="s">
        <v>395</v>
      </c>
      <c r="L16" s="458"/>
      <c r="M16" s="458" t="s">
        <v>421</v>
      </c>
      <c r="N16" s="458"/>
      <c r="O16" s="457" t="s">
        <v>396</v>
      </c>
      <c r="P16" s="457"/>
      <c r="Q16" s="117" t="s">
        <v>397</v>
      </c>
      <c r="R16" s="457" t="s">
        <v>398</v>
      </c>
      <c r="S16" s="457"/>
      <c r="T16" s="457" t="s">
        <v>399</v>
      </c>
      <c r="U16" s="457"/>
      <c r="V16" s="115"/>
      <c r="X16" s="12"/>
      <c r="Y16" s="163" t="str">
        <f>A63</f>
        <v>Insurance</v>
      </c>
      <c r="Z16" s="142"/>
      <c r="AA16" s="137">
        <f>Br_Forsik</f>
        <v>-50000</v>
      </c>
      <c r="AB16" s="175" t="s">
        <v>497</v>
      </c>
      <c r="AN16" s="4">
        <v>1</v>
      </c>
    </row>
    <row r="17" spans="1:39" ht="17.25" x14ac:dyDescent="0.25">
      <c r="A17" s="4" t="s">
        <v>361</v>
      </c>
      <c r="C17" s="83">
        <f>Pressing_bigbale</f>
        <v>-145.45454545454544</v>
      </c>
      <c r="D17" s="101" t="s">
        <v>168</v>
      </c>
      <c r="G17" s="114"/>
      <c r="H17" s="12"/>
      <c r="I17" s="128">
        <f>VLOOKUP(AN1,Tabeller!H4:M7,6)</f>
        <v>5000</v>
      </c>
      <c r="J17" s="187" t="s">
        <v>163</v>
      </c>
      <c r="K17" s="131">
        <v>5000</v>
      </c>
      <c r="L17" s="125" t="s">
        <v>163</v>
      </c>
      <c r="M17" s="131">
        <v>0</v>
      </c>
      <c r="N17" s="125" t="s">
        <v>163</v>
      </c>
      <c r="O17" s="132">
        <f>K17+M17</f>
        <v>5000</v>
      </c>
      <c r="P17" s="125" t="s">
        <v>163</v>
      </c>
      <c r="Q17" s="118">
        <f>IF(O17&gt;I17,"Fejl",O17/I17)</f>
        <v>1</v>
      </c>
      <c r="R17" s="14">
        <f>IF(O17&gt;0,VLOOKUP(AN1,Tabeller!H4:M7,4)/O17,0)</f>
        <v>-26.573354071290627</v>
      </c>
      <c r="S17" s="14" t="s">
        <v>159</v>
      </c>
      <c r="T17" s="92">
        <f>K17*R17</f>
        <v>-132866.77035645314</v>
      </c>
      <c r="U17" s="12" t="s">
        <v>159</v>
      </c>
      <c r="V17" s="115"/>
      <c r="Y17" s="163" t="str">
        <f>A64</f>
        <v>Service life</v>
      </c>
      <c r="Z17" s="142"/>
      <c r="AA17" s="137">
        <f>Br_Levetid</f>
        <v>10</v>
      </c>
      <c r="AB17" s="175" t="s">
        <v>447</v>
      </c>
    </row>
    <row r="18" spans="1:39" x14ac:dyDescent="0.25">
      <c r="D18" s="100"/>
      <c r="G18" s="114"/>
      <c r="H18" s="12"/>
      <c r="I18" s="125"/>
      <c r="J18" s="187"/>
      <c r="K18" s="125"/>
      <c r="L18" s="125"/>
      <c r="M18" s="128"/>
      <c r="N18" s="125"/>
      <c r="O18" s="125"/>
      <c r="P18" s="125"/>
      <c r="Q18" s="118"/>
      <c r="R18" s="14" t="str">
        <f>IF(I18&gt;0,VLOOKUP(#REF!,Tabeller!H5:M8,4)/O18,"")</f>
        <v/>
      </c>
      <c r="S18" s="14"/>
      <c r="T18" s="92"/>
      <c r="U18" s="12"/>
      <c r="V18" s="115"/>
      <c r="X18" s="115"/>
      <c r="Y18" s="451" t="s">
        <v>542</v>
      </c>
      <c r="Z18" s="142"/>
      <c r="AA18" s="137">
        <f>StrawYield/PresserKap*100</f>
        <v>6.76</v>
      </c>
      <c r="AB18" s="175" t="s">
        <v>187</v>
      </c>
    </row>
    <row r="19" spans="1:39" ht="17.25" x14ac:dyDescent="0.25">
      <c r="A19" s="5" t="s">
        <v>362</v>
      </c>
      <c r="D19" s="100"/>
      <c r="G19" s="114"/>
      <c r="H19" s="12"/>
      <c r="I19" s="125">
        <f>VLOOKUP(AN2,Tabeller!H4:M7,6)</f>
        <v>5000</v>
      </c>
      <c r="J19" s="187" t="s">
        <v>163</v>
      </c>
      <c r="K19" s="133">
        <v>0</v>
      </c>
      <c r="L19" s="125" t="s">
        <v>163</v>
      </c>
      <c r="M19" s="131">
        <v>0</v>
      </c>
      <c r="N19" s="125" t="s">
        <v>163</v>
      </c>
      <c r="O19" s="125">
        <f>K19+M19</f>
        <v>0</v>
      </c>
      <c r="P19" s="125" t="s">
        <v>163</v>
      </c>
      <c r="Q19" s="118">
        <f>IF(O19&gt;I19,"Fejl",O19/I19)</f>
        <v>0</v>
      </c>
      <c r="R19" s="14">
        <f>IF(O19&gt;0,VLOOKUP(AN2,Tabeller!H4:M7,4)/O19,0)</f>
        <v>0</v>
      </c>
      <c r="S19" s="14" t="s">
        <v>159</v>
      </c>
      <c r="T19" s="92">
        <f>K19*R19</f>
        <v>0</v>
      </c>
      <c r="U19" s="12" t="s">
        <v>159</v>
      </c>
      <c r="V19" s="115"/>
      <c r="X19" s="115"/>
      <c r="Y19" s="451" t="s">
        <v>541</v>
      </c>
      <c r="Z19" s="142"/>
      <c r="AA19" s="377">
        <v>80</v>
      </c>
      <c r="AB19" s="175" t="s">
        <v>187</v>
      </c>
    </row>
    <row r="20" spans="1:39" x14ac:dyDescent="0.25">
      <c r="A20" s="4" t="s">
        <v>363</v>
      </c>
      <c r="C20" s="84">
        <v>0.5</v>
      </c>
      <c r="D20" s="102" t="s">
        <v>111</v>
      </c>
      <c r="G20" s="114"/>
      <c r="H20" s="12"/>
      <c r="I20" s="125"/>
      <c r="J20" s="187"/>
      <c r="K20" s="125"/>
      <c r="L20" s="125"/>
      <c r="M20" s="128"/>
      <c r="N20" s="125"/>
      <c r="O20" s="128"/>
      <c r="P20" s="128"/>
      <c r="Q20" s="118"/>
      <c r="R20" s="14"/>
      <c r="S20" s="14"/>
      <c r="T20" s="92"/>
      <c r="U20" s="12"/>
      <c r="V20" s="115"/>
      <c r="Y20" s="163"/>
      <c r="Z20" s="142"/>
      <c r="AA20" s="134"/>
      <c r="AB20" s="169"/>
    </row>
    <row r="21" spans="1:39" ht="17.25" x14ac:dyDescent="0.25">
      <c r="A21" s="4" t="s">
        <v>364</v>
      </c>
      <c r="C21" s="78">
        <f>Normer!TraktorFrontVogn</f>
        <v>-650</v>
      </c>
      <c r="D21" s="316" t="s">
        <v>432</v>
      </c>
      <c r="G21" s="114"/>
      <c r="H21" s="12"/>
      <c r="I21" s="128">
        <f>VLOOKUP(AN3,Tabeller!H4:M7,6)</f>
        <v>5000</v>
      </c>
      <c r="J21" s="187" t="s">
        <v>163</v>
      </c>
      <c r="K21" s="133">
        <v>0</v>
      </c>
      <c r="L21" s="125" t="s">
        <v>163</v>
      </c>
      <c r="M21" s="131">
        <v>0</v>
      </c>
      <c r="N21" s="125" t="s">
        <v>163</v>
      </c>
      <c r="O21" s="125">
        <f>K21+M21</f>
        <v>0</v>
      </c>
      <c r="P21" s="125" t="s">
        <v>163</v>
      </c>
      <c r="Q21" s="118">
        <f>IF(O21&gt;I21,"Fejl",O21/I21)</f>
        <v>0</v>
      </c>
      <c r="R21" s="14">
        <f>IF(O21&gt;0,VLOOKUP(AN3,Tabeller!H4:M7,4)/O21,0)</f>
        <v>0</v>
      </c>
      <c r="S21" s="14" t="s">
        <v>159</v>
      </c>
      <c r="T21" s="92">
        <f>K21*R21</f>
        <v>0</v>
      </c>
      <c r="U21" s="12" t="s">
        <v>159</v>
      </c>
      <c r="V21" s="115"/>
      <c r="Y21" s="162" t="s">
        <v>135</v>
      </c>
      <c r="Z21" s="176"/>
      <c r="AA21" s="134"/>
      <c r="AB21" s="169"/>
    </row>
    <row r="22" spans="1:39" x14ac:dyDescent="0.25">
      <c r="A22" s="4" t="s">
        <v>371</v>
      </c>
      <c r="C22" s="78">
        <f>Normer!F_kapacitet_baller_1mand</f>
        <v>20</v>
      </c>
      <c r="D22" s="316" t="s">
        <v>433</v>
      </c>
      <c r="G22" s="114"/>
      <c r="H22" s="12"/>
      <c r="I22" s="125"/>
      <c r="J22" s="187"/>
      <c r="K22" s="125"/>
      <c r="L22" s="125"/>
      <c r="M22" s="128"/>
      <c r="N22" s="125"/>
      <c r="O22" s="125"/>
      <c r="P22" s="125"/>
      <c r="Q22" s="118"/>
      <c r="R22" s="14" t="str">
        <f>IF(I22&gt;0,VLOOKUP(#REF!,Tabeller!H9:M13,4)/O22,"")</f>
        <v/>
      </c>
      <c r="S22" s="14"/>
      <c r="T22" s="92"/>
      <c r="U22" s="12"/>
      <c r="V22" s="115"/>
      <c r="Y22" s="172" t="s">
        <v>428</v>
      </c>
      <c r="Z22" s="177"/>
      <c r="AA22" s="183">
        <v>100</v>
      </c>
      <c r="AB22" s="169" t="s">
        <v>111</v>
      </c>
    </row>
    <row r="23" spans="1:39" ht="17.25" x14ac:dyDescent="0.25">
      <c r="A23" s="4" t="s">
        <v>372</v>
      </c>
      <c r="C23" s="78">
        <f>KapBigballer*Bigballevægt</f>
        <v>11</v>
      </c>
      <c r="D23" s="316" t="s">
        <v>434</v>
      </c>
      <c r="F23" s="12"/>
      <c r="G23" s="114"/>
      <c r="H23" s="12"/>
      <c r="I23" s="125">
        <f>VLOOKUP(AN4,Tabeller!H4:M7,6)</f>
        <v>5000</v>
      </c>
      <c r="J23" s="187" t="s">
        <v>163</v>
      </c>
      <c r="K23" s="133">
        <v>0</v>
      </c>
      <c r="L23" s="125" t="s">
        <v>163</v>
      </c>
      <c r="M23" s="131">
        <v>0</v>
      </c>
      <c r="N23" s="125" t="s">
        <v>163</v>
      </c>
      <c r="O23" s="125">
        <f>K23+M23</f>
        <v>0</v>
      </c>
      <c r="P23" s="125" t="s">
        <v>163</v>
      </c>
      <c r="Q23" s="118">
        <f>IF(O23&gt;I23,"Fejl",O23/I23)</f>
        <v>0</v>
      </c>
      <c r="R23" s="14">
        <f>IF(O23&gt;0,VLOOKUP(AN4,Tabeller!H4:M7,4)/O23,0)</f>
        <v>0</v>
      </c>
      <c r="S23" s="14" t="s">
        <v>159</v>
      </c>
      <c r="T23" s="92">
        <f>K23*R23</f>
        <v>0</v>
      </c>
      <c r="U23" s="12" t="s">
        <v>159</v>
      </c>
      <c r="V23" s="115"/>
      <c r="Y23" s="172" t="str">
        <f>VLOOKUP(AL7,Tabeller!H13:K15,2)</f>
        <v>Large dump truck</v>
      </c>
      <c r="Z23" s="171"/>
      <c r="AA23" s="134">
        <f>VLOOKUP(AL7,Tabeller!$H$13:$K$15,3)</f>
        <v>-650</v>
      </c>
      <c r="AB23" s="169" t="s">
        <v>432</v>
      </c>
    </row>
    <row r="24" spans="1:39" ht="17.25" x14ac:dyDescent="0.25">
      <c r="A24" s="4" t="s">
        <v>366</v>
      </c>
      <c r="C24" s="79">
        <f>Frontlæssehast_mark/UDBYTTE_PR_HA</f>
        <v>2.6627218934911245</v>
      </c>
      <c r="D24" s="103" t="s">
        <v>161</v>
      </c>
      <c r="F24" s="12"/>
      <c r="G24" s="114"/>
      <c r="H24" s="12"/>
      <c r="I24" s="125"/>
      <c r="J24" s="187"/>
      <c r="K24" s="125"/>
      <c r="L24" s="125"/>
      <c r="M24" s="125"/>
      <c r="N24" s="125"/>
      <c r="O24" s="125"/>
      <c r="P24" s="125"/>
      <c r="Q24" s="120">
        <f>SUM(Q17+Q19+Q21+Q23)</f>
        <v>1</v>
      </c>
      <c r="R24" s="12"/>
      <c r="S24" s="12"/>
      <c r="T24" s="92"/>
      <c r="U24" s="12"/>
      <c r="V24" s="115"/>
      <c r="Y24" s="172" t="s">
        <v>429</v>
      </c>
      <c r="Z24" s="171"/>
      <c r="AA24" s="134">
        <f>VLOOKUP(AL7,Tabeller!$H$13:$K$15,4)</f>
        <v>48</v>
      </c>
      <c r="AB24" s="169" t="s">
        <v>543</v>
      </c>
    </row>
    <row r="25" spans="1:39" ht="18" thickBot="1" x14ac:dyDescent="0.3">
      <c r="A25" s="4" t="s">
        <v>367</v>
      </c>
      <c r="C25" s="79">
        <f>LæsFrontBig</f>
        <v>0.60606060606060597</v>
      </c>
      <c r="D25" s="103" t="s">
        <v>161</v>
      </c>
      <c r="G25" s="114"/>
      <c r="H25" s="75" t="s">
        <v>400</v>
      </c>
      <c r="I25" s="91"/>
      <c r="J25" s="188"/>
      <c r="K25" s="91">
        <f>K17+K19+K21+K23</f>
        <v>5000</v>
      </c>
      <c r="L25" s="91" t="s">
        <v>163</v>
      </c>
      <c r="M25" s="125"/>
      <c r="N25" s="125"/>
      <c r="O25" s="125"/>
      <c r="P25" s="125"/>
      <c r="Q25" s="12"/>
      <c r="R25" s="75" t="s">
        <v>399</v>
      </c>
      <c r="S25" s="75"/>
      <c r="T25" s="90">
        <f>IF(Q24="#VÆRDI!","Fejl",SUM(T17+T19+T21+T23))</f>
        <v>-132866.77035645314</v>
      </c>
      <c r="U25" s="75" t="s">
        <v>159</v>
      </c>
      <c r="V25" s="115"/>
      <c r="Y25" s="178" t="s">
        <v>430</v>
      </c>
      <c r="Z25" s="179"/>
      <c r="AA25" s="180">
        <f>AA24*DensBr</f>
        <v>21.6</v>
      </c>
      <c r="AB25" s="181" t="s">
        <v>434</v>
      </c>
    </row>
    <row r="26" spans="1:39" x14ac:dyDescent="0.25">
      <c r="D26" s="98"/>
      <c r="G26" s="121"/>
      <c r="H26" s="13"/>
      <c r="I26" s="129"/>
      <c r="J26" s="189"/>
      <c r="K26" s="129"/>
      <c r="L26" s="129"/>
      <c r="M26" s="129"/>
      <c r="N26" s="129"/>
      <c r="O26" s="129"/>
      <c r="P26" s="129"/>
      <c r="Q26" s="13"/>
      <c r="R26" s="122"/>
      <c r="S26" s="122"/>
      <c r="T26" s="13"/>
      <c r="U26" s="13"/>
      <c r="V26" s="123"/>
      <c r="AA26" s="80"/>
      <c r="AB26" s="98"/>
    </row>
    <row r="27" spans="1:39" x14ac:dyDescent="0.25">
      <c r="A27" s="5" t="s">
        <v>368</v>
      </c>
      <c r="D27" s="100"/>
      <c r="F27" s="27"/>
      <c r="I27" s="60"/>
      <c r="J27" s="190"/>
      <c r="K27" s="60"/>
      <c r="L27" s="60"/>
      <c r="M27" s="60"/>
      <c r="N27" s="60"/>
      <c r="O27" s="60"/>
      <c r="P27" s="60"/>
      <c r="R27" s="65"/>
      <c r="S27" s="65"/>
      <c r="Y27" s="159"/>
      <c r="Z27" s="140"/>
      <c r="AA27" s="160"/>
      <c r="AB27" s="161"/>
      <c r="AC27" s="140"/>
      <c r="AD27" s="140"/>
      <c r="AE27" s="140"/>
      <c r="AF27" s="140"/>
      <c r="AG27" s="140"/>
      <c r="AH27" s="140"/>
      <c r="AI27" s="140"/>
      <c r="AJ27" s="140"/>
      <c r="AK27" s="140"/>
      <c r="AL27" s="140"/>
      <c r="AM27" s="141"/>
    </row>
    <row r="28" spans="1:39" x14ac:dyDescent="0.25">
      <c r="D28" s="100"/>
      <c r="G28" s="110"/>
      <c r="H28" s="111"/>
      <c r="I28" s="130"/>
      <c r="J28" s="191"/>
      <c r="K28" s="130"/>
      <c r="L28" s="130"/>
      <c r="M28" s="130"/>
      <c r="N28" s="130"/>
      <c r="O28" s="130"/>
      <c r="P28" s="130"/>
      <c r="Q28" s="111"/>
      <c r="R28" s="124"/>
      <c r="S28" s="124"/>
      <c r="T28" s="111"/>
      <c r="U28" s="111"/>
      <c r="V28" s="113"/>
      <c r="Y28" s="166" t="str">
        <f>Y3</f>
        <v>Entries for decentral briquetting</v>
      </c>
      <c r="Z28" s="142"/>
      <c r="AA28" s="142"/>
      <c r="AB28" s="150"/>
      <c r="AC28" s="142"/>
      <c r="AD28" s="142"/>
      <c r="AE28" s="142"/>
      <c r="AF28" s="142"/>
      <c r="AG28" s="142"/>
      <c r="AH28" s="142"/>
      <c r="AI28" s="142"/>
      <c r="AJ28" s="142"/>
      <c r="AK28" s="142"/>
      <c r="AL28" s="142"/>
      <c r="AM28" s="143"/>
    </row>
    <row r="29" spans="1:39" ht="17.25" x14ac:dyDescent="0.25">
      <c r="A29" s="4" t="str">
        <f>VLOOKUP(AL7,Tabeller!H9:K10,2)</f>
        <v>Telescopic loader</v>
      </c>
      <c r="C29" s="78">
        <f>VLOOKUP(AL7,Tabeller!H9:J10,3)</f>
        <v>-800</v>
      </c>
      <c r="D29" s="316" t="s">
        <v>432</v>
      </c>
      <c r="G29" s="114"/>
      <c r="H29" s="116" t="s">
        <v>401</v>
      </c>
      <c r="I29" s="459" t="s">
        <v>365</v>
      </c>
      <c r="J29" s="459"/>
      <c r="K29" s="460" t="s">
        <v>395</v>
      </c>
      <c r="L29" s="460"/>
      <c r="M29" s="460" t="s">
        <v>421</v>
      </c>
      <c r="N29" s="460"/>
      <c r="O29" s="459" t="s">
        <v>396</v>
      </c>
      <c r="P29" s="459"/>
      <c r="Q29" s="117" t="s">
        <v>422</v>
      </c>
      <c r="R29" s="461" t="s">
        <v>420</v>
      </c>
      <c r="S29" s="461"/>
      <c r="T29" s="457" t="s">
        <v>399</v>
      </c>
      <c r="U29" s="457"/>
      <c r="V29" s="115"/>
      <c r="Y29" s="163"/>
      <c r="Z29" s="142"/>
      <c r="AA29" s="142"/>
      <c r="AB29" s="142"/>
      <c r="AC29" s="142"/>
      <c r="AD29" s="142"/>
      <c r="AE29" s="142"/>
      <c r="AF29" s="142"/>
      <c r="AG29" s="142"/>
      <c r="AH29" s="142"/>
      <c r="AI29" s="142"/>
      <c r="AJ29" s="142"/>
      <c r="AK29" s="142"/>
      <c r="AL29" s="142"/>
      <c r="AM29" s="143"/>
    </row>
    <row r="30" spans="1:39" ht="17.25" x14ac:dyDescent="0.25">
      <c r="A30" s="4" t="str">
        <f>VLOOKUP(AL7,Tabeller!H9:M10,5)</f>
        <v>Loading speed</v>
      </c>
      <c r="C30" s="79">
        <f>VLOOKUP(AL7,Tabeller!H9:M10,6)</f>
        <v>0.82</v>
      </c>
      <c r="D30" s="194" t="s">
        <v>161</v>
      </c>
      <c r="G30" s="114"/>
      <c r="H30" s="12"/>
      <c r="I30" s="125">
        <f>VLOOKUP(AN5,Tabeller!H4:M7,6)</f>
        <v>5000</v>
      </c>
      <c r="J30" s="187" t="s">
        <v>163</v>
      </c>
      <c r="K30" s="133">
        <v>1502</v>
      </c>
      <c r="L30" s="125" t="s">
        <v>163</v>
      </c>
      <c r="M30" s="133">
        <v>3000</v>
      </c>
      <c r="N30" s="125" t="s">
        <v>163</v>
      </c>
      <c r="O30" s="125">
        <f>K30+M30</f>
        <v>4502</v>
      </c>
      <c r="P30" s="125" t="s">
        <v>163</v>
      </c>
      <c r="Q30" s="118">
        <f>IF(O30&gt;I30,"Fejl",O30/I30)</f>
        <v>0.90039999999999998</v>
      </c>
      <c r="R30" s="14">
        <f>IF(O30&gt;0,VLOOKUP(AN5,Tabeller!H4:M7,4)/O30,0)</f>
        <v>-53.529764959956147</v>
      </c>
      <c r="S30" s="119" t="s">
        <v>159</v>
      </c>
      <c r="T30" s="125">
        <f>K30*R30</f>
        <v>-80401.706969854131</v>
      </c>
      <c r="U30" s="12" t="s">
        <v>159</v>
      </c>
      <c r="V30" s="115"/>
      <c r="Y30" s="162" t="str">
        <f>H16</f>
        <v>Storage at farmer</v>
      </c>
      <c r="Z30" s="452" t="s">
        <v>365</v>
      </c>
      <c r="AA30" s="452"/>
      <c r="AB30" s="453" t="s">
        <v>395</v>
      </c>
      <c r="AC30" s="453"/>
      <c r="AD30" s="453" t="s">
        <v>421</v>
      </c>
      <c r="AE30" s="453"/>
      <c r="AF30" s="452" t="s">
        <v>431</v>
      </c>
      <c r="AG30" s="452"/>
      <c r="AH30" s="145" t="s">
        <v>397</v>
      </c>
      <c r="AI30" s="452" t="s">
        <v>420</v>
      </c>
      <c r="AJ30" s="452"/>
      <c r="AK30" s="452" t="s">
        <v>399</v>
      </c>
      <c r="AL30" s="452"/>
      <c r="AM30" s="143"/>
    </row>
    <row r="31" spans="1:39" ht="17.25" x14ac:dyDescent="0.25">
      <c r="C31" s="12"/>
      <c r="D31" s="104"/>
      <c r="F31" s="12"/>
      <c r="G31" s="114"/>
      <c r="H31" s="12"/>
      <c r="I31" s="125"/>
      <c r="J31" s="187"/>
      <c r="K31" s="125"/>
      <c r="L31" s="125"/>
      <c r="M31" s="125"/>
      <c r="N31" s="125"/>
      <c r="O31" s="125"/>
      <c r="P31" s="125"/>
      <c r="Q31" s="118"/>
      <c r="R31" s="14" t="str">
        <f>IF(I31&gt;0,VLOOKUP(#REF!,Tabeller!H19:M22,4)/O31,"")</f>
        <v/>
      </c>
      <c r="S31" s="12"/>
      <c r="T31" s="125"/>
      <c r="U31" s="12"/>
      <c r="V31" s="115"/>
      <c r="Y31" s="163"/>
      <c r="Z31" s="146">
        <f>VLOOKUP(AN9,Tabeller!H4:M7,6)</f>
        <v>5000</v>
      </c>
      <c r="AA31" s="147" t="s">
        <v>163</v>
      </c>
      <c r="AB31" s="138">
        <v>1000</v>
      </c>
      <c r="AC31" s="147" t="s">
        <v>163</v>
      </c>
      <c r="AD31" s="138">
        <v>4000</v>
      </c>
      <c r="AE31" s="147" t="s">
        <v>163</v>
      </c>
      <c r="AF31" s="148">
        <f>AB31+AD31</f>
        <v>5000</v>
      </c>
      <c r="AG31" s="147" t="s">
        <v>163</v>
      </c>
      <c r="AH31" s="149">
        <f>IF(AF31&gt;Z31,"Fejl",AF31/Z31)</f>
        <v>1</v>
      </c>
      <c r="AI31" s="150">
        <f>IF(AF31&gt;0,VLOOKUP(AN9,Tabeller!$H$4:$M$7,4)/AF31,0)</f>
        <v>-26.573354071290627</v>
      </c>
      <c r="AJ31" s="150" t="s">
        <v>159</v>
      </c>
      <c r="AK31" s="151">
        <f>AB31*AI31</f>
        <v>-26573.354071290625</v>
      </c>
      <c r="AL31" s="142" t="s">
        <v>159</v>
      </c>
      <c r="AM31" s="143"/>
    </row>
    <row r="32" spans="1:39" ht="17.25" x14ac:dyDescent="0.25">
      <c r="D32" s="104"/>
      <c r="G32" s="114"/>
      <c r="H32" s="12"/>
      <c r="I32" s="125">
        <f>VLOOKUP(AN6,Tabeller!H4:M7,6)</f>
        <v>5000</v>
      </c>
      <c r="J32" s="187" t="s">
        <v>163</v>
      </c>
      <c r="K32" s="133">
        <v>0</v>
      </c>
      <c r="L32" s="125" t="s">
        <v>163</v>
      </c>
      <c r="M32" s="133">
        <v>0</v>
      </c>
      <c r="N32" s="125" t="s">
        <v>163</v>
      </c>
      <c r="O32" s="125">
        <f>K32+M32</f>
        <v>0</v>
      </c>
      <c r="P32" s="125" t="s">
        <v>163</v>
      </c>
      <c r="Q32" s="118">
        <f>IF(O32&gt;I32,"Fejl",O32/I32)</f>
        <v>0</v>
      </c>
      <c r="R32" s="14">
        <f>IF(O32&gt;0,VLOOKUP(AN6,Tabeller!H4:M7,4)/O32,0)</f>
        <v>0</v>
      </c>
      <c r="S32" s="12" t="s">
        <v>159</v>
      </c>
      <c r="T32" s="125">
        <f>K32*R32</f>
        <v>0</v>
      </c>
      <c r="U32" s="12" t="s">
        <v>159</v>
      </c>
      <c r="V32" s="115"/>
      <c r="Y32" s="163"/>
      <c r="Z32" s="147"/>
      <c r="AA32" s="147"/>
      <c r="AB32" s="147"/>
      <c r="AC32" s="147"/>
      <c r="AD32" s="146"/>
      <c r="AE32" s="147"/>
      <c r="AF32" s="147"/>
      <c r="AG32" s="147"/>
      <c r="AH32" s="149"/>
      <c r="AI32" s="150"/>
      <c r="AJ32" s="150"/>
      <c r="AK32" s="151"/>
      <c r="AL32" s="142"/>
      <c r="AM32" s="143"/>
    </row>
    <row r="33" spans="1:39" ht="17.25" x14ac:dyDescent="0.25">
      <c r="A33" s="5" t="s">
        <v>369</v>
      </c>
      <c r="D33" s="104"/>
      <c r="G33" s="114"/>
      <c r="H33" s="12"/>
      <c r="I33" s="125"/>
      <c r="J33" s="187"/>
      <c r="K33" s="125"/>
      <c r="L33" s="125"/>
      <c r="M33" s="125"/>
      <c r="N33" s="125"/>
      <c r="O33" s="125"/>
      <c r="P33" s="125"/>
      <c r="Q33" s="118"/>
      <c r="R33" s="14"/>
      <c r="S33" s="12"/>
      <c r="T33" s="125"/>
      <c r="U33" s="12"/>
      <c r="V33" s="115"/>
      <c r="Y33" s="163"/>
      <c r="Z33" s="147">
        <f>VLOOKUP(AN10,Tabeller!H4:M7,6)</f>
        <v>5000</v>
      </c>
      <c r="AA33" s="147" t="s">
        <v>163</v>
      </c>
      <c r="AB33" s="139">
        <v>26</v>
      </c>
      <c r="AC33" s="147" t="s">
        <v>163</v>
      </c>
      <c r="AD33" s="138">
        <v>4000</v>
      </c>
      <c r="AE33" s="147" t="s">
        <v>163</v>
      </c>
      <c r="AF33" s="147">
        <f>AB33+AD33</f>
        <v>4026</v>
      </c>
      <c r="AG33" s="147" t="s">
        <v>163</v>
      </c>
      <c r="AH33" s="149">
        <f>IF(AF33&gt;Z33,"Fejl",AF33/Z33)</f>
        <v>0.80520000000000003</v>
      </c>
      <c r="AI33" s="150">
        <f>IF(AF33&gt;0,VLOOKUP(AN10,Tabeller!$H$4:$M$7,4)/AF33,0)</f>
        <v>-59.858669113194878</v>
      </c>
      <c r="AJ33" s="150" t="s">
        <v>159</v>
      </c>
      <c r="AK33" s="151">
        <f>AB33*AI33</f>
        <v>-1556.3253969430668</v>
      </c>
      <c r="AL33" s="142" t="s">
        <v>159</v>
      </c>
      <c r="AM33" s="143"/>
    </row>
    <row r="34" spans="1:39" ht="17.25" x14ac:dyDescent="0.25">
      <c r="D34" s="104"/>
      <c r="G34" s="114"/>
      <c r="H34" s="12"/>
      <c r="I34" s="125">
        <f>VLOOKUP(AN7,Tabeller!H4:M7,6)</f>
        <v>5000</v>
      </c>
      <c r="J34" s="187" t="s">
        <v>163</v>
      </c>
      <c r="K34" s="133">
        <v>0</v>
      </c>
      <c r="L34" s="125" t="s">
        <v>163</v>
      </c>
      <c r="M34" s="133">
        <v>0</v>
      </c>
      <c r="N34" s="125" t="s">
        <v>163</v>
      </c>
      <c r="O34" s="125">
        <f>K34+M34</f>
        <v>0</v>
      </c>
      <c r="P34" s="125" t="s">
        <v>163</v>
      </c>
      <c r="Q34" s="118">
        <f>IF(O34&gt;I34,"Fejl",O34/I34)</f>
        <v>0</v>
      </c>
      <c r="R34" s="14">
        <f>IF(O34&gt;0,VLOOKUP(AN7,Tabeller!H4:M7,4)/O34,0)</f>
        <v>0</v>
      </c>
      <c r="S34" s="12" t="s">
        <v>159</v>
      </c>
      <c r="T34" s="125">
        <f>K34*R34</f>
        <v>0</v>
      </c>
      <c r="U34" s="12" t="s">
        <v>159</v>
      </c>
      <c r="V34" s="115"/>
      <c r="Y34" s="163"/>
      <c r="Z34" s="147"/>
      <c r="AA34" s="147"/>
      <c r="AB34" s="147"/>
      <c r="AC34" s="147"/>
      <c r="AD34" s="147"/>
      <c r="AE34" s="147"/>
      <c r="AF34" s="146"/>
      <c r="AG34" s="146"/>
      <c r="AH34" s="149"/>
      <c r="AI34" s="150"/>
      <c r="AJ34" s="150"/>
      <c r="AK34" s="151"/>
      <c r="AL34" s="142"/>
      <c r="AM34" s="143"/>
    </row>
    <row r="35" spans="1:39" ht="17.25" x14ac:dyDescent="0.25">
      <c r="A35" s="4" t="s">
        <v>370</v>
      </c>
      <c r="C35" s="84">
        <v>20</v>
      </c>
      <c r="D35" s="102" t="s">
        <v>111</v>
      </c>
      <c r="G35" s="114"/>
      <c r="H35" s="12"/>
      <c r="I35" s="12"/>
      <c r="J35" s="104"/>
      <c r="K35" s="125"/>
      <c r="L35" s="125"/>
      <c r="M35" s="125"/>
      <c r="N35" s="125"/>
      <c r="O35" s="125"/>
      <c r="P35" s="125"/>
      <c r="Q35" s="118"/>
      <c r="R35" s="14" t="str">
        <f>IF(I35&gt;0,VLOOKUP(#REF!,Tabeller!H23:M26,4)/O35,"")</f>
        <v/>
      </c>
      <c r="S35" s="12"/>
      <c r="T35" s="125"/>
      <c r="U35" s="12"/>
      <c r="V35" s="115"/>
      <c r="Y35" s="163"/>
      <c r="Z35" s="146">
        <f>VLOOKUP(AN11,Tabeller!H4:M7,6)</f>
        <v>5000</v>
      </c>
      <c r="AA35" s="147" t="s">
        <v>163</v>
      </c>
      <c r="AB35" s="139">
        <v>0</v>
      </c>
      <c r="AC35" s="147" t="s">
        <v>163</v>
      </c>
      <c r="AD35" s="138">
        <v>0</v>
      </c>
      <c r="AE35" s="147" t="s">
        <v>163</v>
      </c>
      <c r="AF35" s="147">
        <f>AB35+AD35</f>
        <v>0</v>
      </c>
      <c r="AG35" s="147" t="s">
        <v>163</v>
      </c>
      <c r="AH35" s="149">
        <f>IF(AF35&gt;Z35,"Fejl",AF35/Z35)</f>
        <v>0</v>
      </c>
      <c r="AI35" s="150">
        <f>IF(AF35&gt;0,VLOOKUP(AN11,Tabeller!$H$4:$M$7,4)/AF35,0)</f>
        <v>0</v>
      </c>
      <c r="AJ35" s="150" t="s">
        <v>159</v>
      </c>
      <c r="AK35" s="151">
        <f>AB35*AI35</f>
        <v>0</v>
      </c>
      <c r="AL35" s="142" t="s">
        <v>159</v>
      </c>
      <c r="AM35" s="143"/>
    </row>
    <row r="36" spans="1:39" ht="17.25" x14ac:dyDescent="0.25">
      <c r="A36" s="4" t="str">
        <f>VLOOKUP(AL3,Tabeller!H16:K17,2)</f>
        <v>Tractor &amp; trailer</v>
      </c>
      <c r="C36" s="78">
        <f>VLOOKUP(AL3,Tabeller!H16:K17,4)</f>
        <v>-550</v>
      </c>
      <c r="D36" s="105" t="s">
        <v>169</v>
      </c>
      <c r="G36" s="114"/>
      <c r="H36" s="12"/>
      <c r="I36" s="12">
        <f>VLOOKUP(AN8,Tabeller!H4:M7,6)</f>
        <v>5000</v>
      </c>
      <c r="J36" s="104" t="s">
        <v>163</v>
      </c>
      <c r="K36" s="133">
        <v>0</v>
      </c>
      <c r="L36" s="125" t="s">
        <v>163</v>
      </c>
      <c r="M36" s="133">
        <v>0</v>
      </c>
      <c r="N36" s="125" t="s">
        <v>163</v>
      </c>
      <c r="O36" s="125">
        <f>K36+M36</f>
        <v>0</v>
      </c>
      <c r="P36" s="125" t="s">
        <v>163</v>
      </c>
      <c r="Q36" s="118">
        <f>IF(O36&gt;I36,"Fejl",O36/I36)</f>
        <v>0</v>
      </c>
      <c r="R36" s="14">
        <f>IF(O36&gt;0,VLOOKUP(AN8,Tabeller!H4:M7,4)/O36,0)</f>
        <v>0</v>
      </c>
      <c r="S36" s="12" t="s">
        <v>159</v>
      </c>
      <c r="T36" s="125">
        <f>K36*R36</f>
        <v>0</v>
      </c>
      <c r="U36" s="12" t="s">
        <v>159</v>
      </c>
      <c r="V36" s="115"/>
      <c r="Y36" s="163"/>
      <c r="Z36" s="147"/>
      <c r="AA36" s="147"/>
      <c r="AB36" s="147"/>
      <c r="AC36" s="147"/>
      <c r="AD36" s="146"/>
      <c r="AE36" s="147"/>
      <c r="AF36" s="147"/>
      <c r="AG36" s="147"/>
      <c r="AH36" s="149"/>
      <c r="AI36" s="150"/>
      <c r="AJ36" s="150"/>
      <c r="AK36" s="151"/>
      <c r="AL36" s="142"/>
      <c r="AM36" s="143"/>
    </row>
    <row r="37" spans="1:39" ht="17.25" x14ac:dyDescent="0.25">
      <c r="A37" s="4" t="s">
        <v>371</v>
      </c>
      <c r="C37" s="78">
        <f>VLOOKUP(AL3,Tabeller!H16:L17,5)</f>
        <v>24</v>
      </c>
      <c r="D37" s="316" t="s">
        <v>433</v>
      </c>
      <c r="G37" s="114"/>
      <c r="H37" s="12"/>
      <c r="I37" s="12"/>
      <c r="J37" s="104"/>
      <c r="K37" s="12"/>
      <c r="L37" s="12"/>
      <c r="M37" s="12"/>
      <c r="N37" s="12"/>
      <c r="O37" s="12"/>
      <c r="P37" s="12"/>
      <c r="Q37" s="126">
        <f>SUM(Q30+Q32+Q34+Q36)</f>
        <v>0.90039999999999998</v>
      </c>
      <c r="R37" s="12"/>
      <c r="S37" s="12"/>
      <c r="T37" s="125"/>
      <c r="U37" s="12"/>
      <c r="V37" s="115"/>
      <c r="Y37" s="163"/>
      <c r="Z37" s="147">
        <f>VLOOKUP(AN12,Tabeller!$H$4:$M$7,6)</f>
        <v>5000</v>
      </c>
      <c r="AA37" s="147" t="s">
        <v>163</v>
      </c>
      <c r="AB37" s="139">
        <v>0</v>
      </c>
      <c r="AC37" s="147" t="s">
        <v>163</v>
      </c>
      <c r="AD37" s="138">
        <v>0</v>
      </c>
      <c r="AE37" s="147" t="s">
        <v>163</v>
      </c>
      <c r="AF37" s="147">
        <f>AB37+AD37</f>
        <v>0</v>
      </c>
      <c r="AG37" s="147" t="s">
        <v>163</v>
      </c>
      <c r="AH37" s="149">
        <f>IF(AF37&gt;Z37,"Fejl",AF37/Z37)</f>
        <v>0</v>
      </c>
      <c r="AI37" s="150">
        <f>IF(AF37&gt;0,VLOOKUP(AN12,Tabeller!$H$4:$M$7,4)/AF37,0)</f>
        <v>0</v>
      </c>
      <c r="AJ37" s="150" t="s">
        <v>159</v>
      </c>
      <c r="AK37" s="151">
        <f>AB37*AI37</f>
        <v>0</v>
      </c>
      <c r="AL37" s="142" t="s">
        <v>159</v>
      </c>
      <c r="AM37" s="143"/>
    </row>
    <row r="38" spans="1:39" ht="18" thickBot="1" x14ac:dyDescent="0.3">
      <c r="A38" s="4" t="s">
        <v>372</v>
      </c>
      <c r="C38" s="83">
        <f>TransAnlægKap*Bigballevægt</f>
        <v>13.200000000000001</v>
      </c>
      <c r="D38" s="448" t="s">
        <v>434</v>
      </c>
      <c r="G38" s="114"/>
      <c r="H38" s="75" t="s">
        <v>423</v>
      </c>
      <c r="I38" s="75"/>
      <c r="J38" s="192"/>
      <c r="K38" s="75">
        <f>K30+K32+K34+K36</f>
        <v>1502</v>
      </c>
      <c r="L38" s="76" t="s">
        <v>163</v>
      </c>
      <c r="M38" s="12"/>
      <c r="N38" s="12"/>
      <c r="O38" s="12"/>
      <c r="P38" s="12"/>
      <c r="Q38" s="12"/>
      <c r="R38" s="75" t="s">
        <v>399</v>
      </c>
      <c r="S38" s="75"/>
      <c r="T38" s="91">
        <f>IF(Q37="#VÆRDI!","Fejl",SUM(T30+T32+T34+T36))</f>
        <v>-80401.706969854131</v>
      </c>
      <c r="U38" s="75" t="s">
        <v>159</v>
      </c>
      <c r="V38" s="115"/>
      <c r="Y38" s="163"/>
      <c r="Z38" s="147"/>
      <c r="AA38" s="147"/>
      <c r="AB38" s="147"/>
      <c r="AC38" s="147"/>
      <c r="AD38" s="147"/>
      <c r="AE38" s="147"/>
      <c r="AF38" s="147"/>
      <c r="AG38" s="147"/>
      <c r="AH38" s="184">
        <f>SUM(AH31+AH33+AH35+AH37)</f>
        <v>1.8052000000000001</v>
      </c>
      <c r="AI38" s="142"/>
      <c r="AJ38" s="142"/>
      <c r="AK38" s="151"/>
      <c r="AL38" s="142"/>
      <c r="AM38" s="143"/>
    </row>
    <row r="39" spans="1:39" ht="18" thickBot="1" x14ac:dyDescent="0.3">
      <c r="A39" s="4" t="s">
        <v>373</v>
      </c>
      <c r="C39" s="83">
        <f>VLOOKUP(AL3,Tabeller!H16:M17,6)</f>
        <v>25</v>
      </c>
      <c r="D39" s="448" t="s">
        <v>435</v>
      </c>
      <c r="G39" s="121"/>
      <c r="H39" s="13"/>
      <c r="I39" s="13"/>
      <c r="J39" s="193"/>
      <c r="K39" s="13"/>
      <c r="L39" s="13"/>
      <c r="M39" s="13"/>
      <c r="N39" s="13"/>
      <c r="O39" s="13"/>
      <c r="P39" s="13"/>
      <c r="Q39" s="13"/>
      <c r="R39" s="13"/>
      <c r="S39" s="13"/>
      <c r="T39" s="13"/>
      <c r="U39" s="13"/>
      <c r="V39" s="123"/>
      <c r="Y39" s="164" t="str">
        <f>H25</f>
        <v>Amout stored at farmer in total</v>
      </c>
      <c r="Z39" s="153"/>
      <c r="AA39" s="153"/>
      <c r="AB39" s="153">
        <f>AB31+AB33+AB35+AB37</f>
        <v>1026</v>
      </c>
      <c r="AC39" s="153" t="s">
        <v>163</v>
      </c>
      <c r="AD39" s="147"/>
      <c r="AE39" s="147"/>
      <c r="AF39" s="147"/>
      <c r="AG39" s="147"/>
      <c r="AH39" s="142"/>
      <c r="AI39" s="152" t="s">
        <v>399</v>
      </c>
      <c r="AJ39" s="152"/>
      <c r="AK39" s="154">
        <f>IF(AH38="#VÆRDI!","Fejl",SUM(AK31+AK33+AK35+AK37))</f>
        <v>-28129.679468233691</v>
      </c>
      <c r="AL39" s="152" t="s">
        <v>159</v>
      </c>
      <c r="AM39" s="143"/>
    </row>
    <row r="40" spans="1:39" x14ac:dyDescent="0.25">
      <c r="D40" s="102"/>
      <c r="E40" s="102"/>
      <c r="Y40" s="165"/>
      <c r="Z40" s="156"/>
      <c r="AA40" s="156"/>
      <c r="AB40" s="156"/>
      <c r="AC40" s="156"/>
      <c r="AD40" s="156"/>
      <c r="AE40" s="156"/>
      <c r="AF40" s="156"/>
      <c r="AG40" s="156"/>
      <c r="AH40" s="155"/>
      <c r="AI40" s="157"/>
      <c r="AJ40" s="157"/>
      <c r="AK40" s="155"/>
      <c r="AL40" s="155"/>
      <c r="AM40" s="158"/>
    </row>
    <row r="41" spans="1:39" x14ac:dyDescent="0.25">
      <c r="D41" s="104"/>
    </row>
    <row r="42" spans="1:39" x14ac:dyDescent="0.25">
      <c r="A42" s="5" t="s">
        <v>374</v>
      </c>
      <c r="D42" s="104"/>
      <c r="Y42" s="159"/>
      <c r="Z42" s="140"/>
      <c r="AA42" s="160"/>
      <c r="AB42" s="161"/>
      <c r="AC42" s="140"/>
      <c r="AD42" s="140"/>
      <c r="AE42" s="140"/>
      <c r="AF42" s="140"/>
      <c r="AG42" s="140"/>
      <c r="AH42" s="140"/>
      <c r="AI42" s="140"/>
      <c r="AJ42" s="140"/>
      <c r="AK42" s="140"/>
      <c r="AL42" s="140"/>
      <c r="AM42" s="141"/>
    </row>
    <row r="43" spans="1:39" x14ac:dyDescent="0.25">
      <c r="D43" s="104"/>
      <c r="Y43" s="166" t="str">
        <f>Y28</f>
        <v>Entries for decentral briquetting</v>
      </c>
      <c r="Z43" s="142"/>
      <c r="AA43" s="142"/>
      <c r="AB43" s="150"/>
      <c r="AC43" s="142"/>
      <c r="AD43" s="142"/>
      <c r="AE43" s="142"/>
      <c r="AF43" s="142"/>
      <c r="AG43" s="142"/>
      <c r="AH43" s="142"/>
      <c r="AI43" s="142"/>
      <c r="AJ43" s="142"/>
      <c r="AK43" s="142"/>
      <c r="AL43" s="142"/>
      <c r="AM43" s="143"/>
    </row>
    <row r="44" spans="1:39" x14ac:dyDescent="0.25">
      <c r="A44" s="4" t="str">
        <f>VLOOKUP(AL2,Tabeller!H9:K10,2)</f>
        <v>Telescopic loader</v>
      </c>
      <c r="C44" s="82">
        <f>VLOOKUP(AL2,Tabeller!H9:J10,3)</f>
        <v>-800</v>
      </c>
      <c r="D44" s="316" t="s">
        <v>432</v>
      </c>
      <c r="Y44" s="163"/>
      <c r="Z44" s="142"/>
      <c r="AA44" s="142"/>
      <c r="AB44" s="142"/>
      <c r="AC44" s="142"/>
      <c r="AD44" s="142"/>
      <c r="AE44" s="142"/>
      <c r="AF44" s="142"/>
      <c r="AG44" s="142"/>
      <c r="AH44" s="142"/>
      <c r="AI44" s="142"/>
      <c r="AJ44" s="142"/>
      <c r="AK44" s="142"/>
      <c r="AL44" s="142"/>
      <c r="AM44" s="143"/>
    </row>
    <row r="45" spans="1:39" ht="17.25" x14ac:dyDescent="0.25">
      <c r="A45" s="4" t="str">
        <f>VLOOKUP(AL2,Tabeller!H9:M10,5)</f>
        <v>Loading speed</v>
      </c>
      <c r="C45" s="87">
        <f>VLOOKUP(AL2,Tabeller!H9:M10,6)</f>
        <v>0.82</v>
      </c>
      <c r="D45" s="194" t="s">
        <v>161</v>
      </c>
      <c r="Y45" s="162" t="str">
        <f>H29</f>
        <v>Storage, facility</v>
      </c>
      <c r="Z45" s="452" t="s">
        <v>365</v>
      </c>
      <c r="AA45" s="452"/>
      <c r="AB45" s="453" t="s">
        <v>395</v>
      </c>
      <c r="AC45" s="453"/>
      <c r="AD45" s="453" t="s">
        <v>421</v>
      </c>
      <c r="AE45" s="453"/>
      <c r="AF45" s="452" t="s">
        <v>431</v>
      </c>
      <c r="AG45" s="452"/>
      <c r="AH45" s="145" t="s">
        <v>397</v>
      </c>
      <c r="AI45" s="452" t="s">
        <v>420</v>
      </c>
      <c r="AJ45" s="452"/>
      <c r="AK45" s="452" t="s">
        <v>399</v>
      </c>
      <c r="AL45" s="452"/>
      <c r="AM45" s="143"/>
    </row>
    <row r="46" spans="1:39" ht="17.25" x14ac:dyDescent="0.25">
      <c r="Y46" s="163"/>
      <c r="Z46" s="147">
        <f>VLOOKUP(AN13,Tabeller!$H$4:$M$7,6)</f>
        <v>5000</v>
      </c>
      <c r="AA46" s="147" t="s">
        <v>163</v>
      </c>
      <c r="AB46" s="138">
        <v>3756</v>
      </c>
      <c r="AC46" s="147" t="s">
        <v>163</v>
      </c>
      <c r="AD46" s="138">
        <v>0</v>
      </c>
      <c r="AE46" s="147" t="s">
        <v>163</v>
      </c>
      <c r="AF46" s="148">
        <f>AB46+AD46</f>
        <v>3756</v>
      </c>
      <c r="AG46" s="147" t="s">
        <v>163</v>
      </c>
      <c r="AH46" s="149">
        <f>IF(AF46&gt;Z46,"Fejl",AF46/Z46)</f>
        <v>0.75119999999999998</v>
      </c>
      <c r="AI46" s="150">
        <f>IF(AF46&gt;0,VLOOKUP(AN13,Tabeller!$H$4:$M$7,4)/AF46,0)</f>
        <v>-49.149946792007029</v>
      </c>
      <c r="AJ46" s="150" t="s">
        <v>159</v>
      </c>
      <c r="AK46" s="151">
        <f>AB46*AI46</f>
        <v>-184607.2001507784</v>
      </c>
      <c r="AL46" s="142" t="s">
        <v>159</v>
      </c>
      <c r="AM46" s="143"/>
    </row>
    <row r="47" spans="1:39" x14ac:dyDescent="0.25">
      <c r="D47" s="106"/>
      <c r="Y47" s="163"/>
      <c r="Z47" s="147"/>
      <c r="AA47" s="147"/>
      <c r="AB47" s="147"/>
      <c r="AC47" s="147"/>
      <c r="AD47" s="146"/>
      <c r="AE47" s="147"/>
      <c r="AF47" s="147"/>
      <c r="AG47" s="147"/>
      <c r="AH47" s="149"/>
      <c r="AI47" s="150"/>
      <c r="AJ47" s="150"/>
      <c r="AK47" s="151"/>
      <c r="AL47" s="142"/>
      <c r="AM47" s="143"/>
    </row>
    <row r="48" spans="1:39" ht="17.25" x14ac:dyDescent="0.25">
      <c r="A48" s="5" t="s">
        <v>375</v>
      </c>
      <c r="D48" s="106"/>
      <c r="Y48" s="163"/>
      <c r="Z48" s="147">
        <f>VLOOKUP(AN14,Tabeller!$H$4:$M$7,6)</f>
        <v>5000</v>
      </c>
      <c r="AA48" s="147" t="s">
        <v>163</v>
      </c>
      <c r="AB48" s="139">
        <v>0</v>
      </c>
      <c r="AC48" s="147" t="s">
        <v>163</v>
      </c>
      <c r="AD48" s="138">
        <v>0</v>
      </c>
      <c r="AE48" s="147" t="s">
        <v>163</v>
      </c>
      <c r="AF48" s="147">
        <f>AB48+AD48</f>
        <v>0</v>
      </c>
      <c r="AG48" s="147" t="s">
        <v>163</v>
      </c>
      <c r="AH48" s="149">
        <f>IF(AF48&gt;Z48,"Fejl",AF48/Z48)</f>
        <v>0</v>
      </c>
      <c r="AI48" s="150">
        <f>IF(AF48&gt;0,VLOOKUP(AN14,Tabeller!$H$4:$M$7,4)/AF48,0)</f>
        <v>0</v>
      </c>
      <c r="AJ48" s="150" t="s">
        <v>159</v>
      </c>
      <c r="AK48" s="151">
        <f>AB48*AI48</f>
        <v>0</v>
      </c>
      <c r="AL48" s="142" t="s">
        <v>159</v>
      </c>
      <c r="AM48" s="143"/>
    </row>
    <row r="49" spans="1:39" x14ac:dyDescent="0.25">
      <c r="D49" s="106"/>
      <c r="Y49" s="163"/>
      <c r="Z49" s="147"/>
      <c r="AA49" s="147"/>
      <c r="AB49" s="147"/>
      <c r="AC49" s="147"/>
      <c r="AD49" s="147"/>
      <c r="AE49" s="147"/>
      <c r="AF49" s="146"/>
      <c r="AG49" s="146"/>
      <c r="AH49" s="149"/>
      <c r="AI49" s="150"/>
      <c r="AJ49" s="150"/>
      <c r="AK49" s="151"/>
      <c r="AL49" s="142"/>
      <c r="AM49" s="143"/>
    </row>
    <row r="50" spans="1:39" ht="17.25" x14ac:dyDescent="0.25">
      <c r="D50" s="106"/>
      <c r="Y50" s="163"/>
      <c r="Z50" s="147">
        <f>VLOOKUP(AN15,Tabeller!$H$4:$M$7,6)</f>
        <v>5000</v>
      </c>
      <c r="AA50" s="147" t="s">
        <v>163</v>
      </c>
      <c r="AB50" s="139">
        <v>0</v>
      </c>
      <c r="AC50" s="147" t="s">
        <v>163</v>
      </c>
      <c r="AD50" s="138">
        <v>0</v>
      </c>
      <c r="AE50" s="147" t="s">
        <v>163</v>
      </c>
      <c r="AF50" s="147">
        <f>AB50+AD50</f>
        <v>0</v>
      </c>
      <c r="AG50" s="147" t="s">
        <v>163</v>
      </c>
      <c r="AH50" s="149">
        <f>IF(AF50&gt;Z50,"Fejl",AF50/Z50)</f>
        <v>0</v>
      </c>
      <c r="AI50" s="150">
        <f>IF(AF50&gt;0,VLOOKUP(AN15,Tabeller!$H$4:$M$7,4)/AF50,0)</f>
        <v>0</v>
      </c>
      <c r="AJ50" s="150" t="s">
        <v>159</v>
      </c>
      <c r="AK50" s="151">
        <f>AB50*AI50</f>
        <v>0</v>
      </c>
      <c r="AL50" s="142" t="s">
        <v>159</v>
      </c>
      <c r="AM50" s="143"/>
    </row>
    <row r="51" spans="1:39" x14ac:dyDescent="0.25">
      <c r="A51" s="5" t="s">
        <v>376</v>
      </c>
      <c r="D51" s="106"/>
      <c r="Y51" s="163"/>
      <c r="Z51" s="147"/>
      <c r="AA51" s="147"/>
      <c r="AB51" s="147"/>
      <c r="AC51" s="147"/>
      <c r="AD51" s="146"/>
      <c r="AE51" s="147"/>
      <c r="AF51" s="147"/>
      <c r="AG51" s="147"/>
      <c r="AH51" s="149"/>
      <c r="AI51" s="150"/>
      <c r="AJ51" s="150"/>
      <c r="AK51" s="151"/>
      <c r="AL51" s="142"/>
      <c r="AM51" s="143"/>
    </row>
    <row r="52" spans="1:39" ht="17.25" x14ac:dyDescent="0.25">
      <c r="A52" s="4" t="s">
        <v>377</v>
      </c>
      <c r="B52" s="454">
        <f>IF(AL4=1,Ex_pris,0)</f>
        <v>-5500000</v>
      </c>
      <c r="C52" s="454"/>
      <c r="D52" s="107" t="s">
        <v>159</v>
      </c>
      <c r="Y52" s="163"/>
      <c r="Z52" s="147">
        <f>VLOOKUP(AN16,Tabeller!$H$4:$M$7,6)</f>
        <v>5000</v>
      </c>
      <c r="AA52" s="147" t="s">
        <v>163</v>
      </c>
      <c r="AB52" s="139">
        <v>0</v>
      </c>
      <c r="AC52" s="147" t="s">
        <v>163</v>
      </c>
      <c r="AD52" s="138">
        <v>0</v>
      </c>
      <c r="AE52" s="147" t="s">
        <v>163</v>
      </c>
      <c r="AF52" s="147">
        <f>AB52+AD52</f>
        <v>0</v>
      </c>
      <c r="AG52" s="147" t="s">
        <v>163</v>
      </c>
      <c r="AH52" s="149">
        <f>IF(AF52&gt;Z52,"Fejl",AF52/Z52)</f>
        <v>0</v>
      </c>
      <c r="AI52" s="150">
        <f>IF(AF52&gt;0,VLOOKUP(AN16,Tabeller!$H$4:$M$7,4)/AF52,0)</f>
        <v>0</v>
      </c>
      <c r="AJ52" s="150" t="s">
        <v>159</v>
      </c>
      <c r="AK52" s="151">
        <f>AB52*AI52</f>
        <v>0</v>
      </c>
      <c r="AL52" s="142" t="s">
        <v>159</v>
      </c>
      <c r="AM52" s="143"/>
    </row>
    <row r="53" spans="1:39" x14ac:dyDescent="0.25">
      <c r="A53" s="4" t="s">
        <v>365</v>
      </c>
      <c r="B53" s="454">
        <f>IF(AL4=1,Ex_kap,0)</f>
        <v>10000</v>
      </c>
      <c r="C53" s="454"/>
      <c r="D53" s="107" t="s">
        <v>446</v>
      </c>
      <c r="Y53" s="163"/>
      <c r="Z53" s="147"/>
      <c r="AA53" s="147"/>
      <c r="AB53" s="147"/>
      <c r="AC53" s="147"/>
      <c r="AD53" s="147"/>
      <c r="AE53" s="147"/>
      <c r="AF53" s="147"/>
      <c r="AG53" s="147"/>
      <c r="AH53" s="184">
        <f>SUM(AH46+AH48+AH50+AH52)</f>
        <v>0.75119999999999998</v>
      </c>
      <c r="AI53" s="150"/>
      <c r="AJ53" s="142"/>
      <c r="AK53" s="151"/>
      <c r="AL53" s="142"/>
      <c r="AM53" s="143"/>
    </row>
    <row r="54" spans="1:39" ht="18" thickBot="1" x14ac:dyDescent="0.3">
      <c r="A54" s="4" t="s">
        <v>378</v>
      </c>
      <c r="C54" s="93">
        <f>IF(AL4=1,Ex_driftogVedlige,0)</f>
        <v>-98.8</v>
      </c>
      <c r="D54" s="107" t="s">
        <v>168</v>
      </c>
      <c r="Y54" s="164" t="s">
        <v>437</v>
      </c>
      <c r="Z54" s="153"/>
      <c r="AA54" s="153"/>
      <c r="AB54" s="153">
        <f>AB46+AB48+AB50+AB52</f>
        <v>3756</v>
      </c>
      <c r="AC54" s="153" t="s">
        <v>163</v>
      </c>
      <c r="AD54" s="147"/>
      <c r="AE54" s="147"/>
      <c r="AF54" s="147"/>
      <c r="AG54" s="147"/>
      <c r="AH54" s="142"/>
      <c r="AI54" s="152" t="s">
        <v>399</v>
      </c>
      <c r="AJ54" s="152"/>
      <c r="AK54" s="154">
        <f>IF(AH53="#VÆRDI!","Fejl",SUM(AK46+AK48+AK50+AK52))</f>
        <v>-184607.2001507784</v>
      </c>
      <c r="AL54" s="152" t="s">
        <v>159</v>
      </c>
      <c r="AM54" s="143"/>
    </row>
    <row r="55" spans="1:39" x14ac:dyDescent="0.25">
      <c r="A55" s="81" t="s">
        <v>379</v>
      </c>
      <c r="B55" s="454">
        <f>IF(AL4=1,EX_forsik,0)</f>
        <v>-50000</v>
      </c>
      <c r="C55" s="454"/>
      <c r="D55" s="107" t="s">
        <v>497</v>
      </c>
      <c r="Y55" s="165"/>
      <c r="Z55" s="156"/>
      <c r="AA55" s="156"/>
      <c r="AB55" s="156"/>
      <c r="AC55" s="156"/>
      <c r="AD55" s="156"/>
      <c r="AE55" s="156"/>
      <c r="AF55" s="156"/>
      <c r="AG55" s="156"/>
      <c r="AH55" s="155"/>
      <c r="AI55" s="157"/>
      <c r="AJ55" s="157"/>
      <c r="AK55" s="155"/>
      <c r="AL55" s="155"/>
      <c r="AM55" s="158"/>
    </row>
    <row r="56" spans="1:39" x14ac:dyDescent="0.25">
      <c r="A56" s="4" t="s">
        <v>380</v>
      </c>
      <c r="C56" s="93">
        <f>IF(AL4=1,Ex_levetid,0)</f>
        <v>10</v>
      </c>
      <c r="D56" s="107" t="s">
        <v>177</v>
      </c>
    </row>
    <row r="57" spans="1:39" x14ac:dyDescent="0.25">
      <c r="A57" s="4" t="s">
        <v>383</v>
      </c>
      <c r="C57" s="93">
        <f>IF(AL4=1,Ex_Ydelse,0)</f>
        <v>-729672.72786868934</v>
      </c>
      <c r="D57" s="107" t="s">
        <v>497</v>
      </c>
    </row>
    <row r="58" spans="1:39" x14ac:dyDescent="0.25">
      <c r="C58" s="51"/>
      <c r="D58" s="108"/>
    </row>
    <row r="59" spans="1:39" x14ac:dyDescent="0.25">
      <c r="A59" s="5" t="s">
        <v>381</v>
      </c>
      <c r="D59" s="106"/>
    </row>
    <row r="60" spans="1:39" x14ac:dyDescent="0.25">
      <c r="A60" s="4" t="s">
        <v>418</v>
      </c>
      <c r="B60" s="454">
        <f>IF(AL4=2,BrPrisSamlet,0)</f>
        <v>0</v>
      </c>
      <c r="C60" s="454"/>
      <c r="D60" s="107" t="s">
        <v>159</v>
      </c>
    </row>
    <row r="61" spans="1:39" x14ac:dyDescent="0.25">
      <c r="A61" s="4" t="s">
        <v>365</v>
      </c>
      <c r="B61" s="454">
        <f>IF(AL4=2,PresserKap,0)</f>
        <v>0</v>
      </c>
      <c r="C61" s="454"/>
      <c r="D61" s="107" t="s">
        <v>446</v>
      </c>
    </row>
    <row r="62" spans="1:39" x14ac:dyDescent="0.25">
      <c r="A62" s="4" t="s">
        <v>382</v>
      </c>
      <c r="C62" s="93">
        <f>IF(AL4=2,Br_driftogvedlige,0)</f>
        <v>0</v>
      </c>
      <c r="D62" s="107" t="s">
        <v>168</v>
      </c>
    </row>
    <row r="63" spans="1:39" x14ac:dyDescent="0.25">
      <c r="A63" s="4" t="s">
        <v>379</v>
      </c>
      <c r="C63" s="93">
        <f>IF(AL4=2,Br_Forsik,0)</f>
        <v>0</v>
      </c>
      <c r="D63" s="107" t="s">
        <v>497</v>
      </c>
    </row>
    <row r="64" spans="1:39" x14ac:dyDescent="0.25">
      <c r="A64" s="4" t="s">
        <v>380</v>
      </c>
      <c r="C64" s="93">
        <f>IF(AL4=2,Br_Levetid,0)</f>
        <v>0</v>
      </c>
      <c r="D64" s="107" t="s">
        <v>177</v>
      </c>
    </row>
    <row r="65" spans="1:5" x14ac:dyDescent="0.25">
      <c r="A65" s="4" t="s">
        <v>383</v>
      </c>
      <c r="C65" s="93">
        <f>IF(AL4=2,Br_Ydelse,0)</f>
        <v>0</v>
      </c>
      <c r="D65" s="33" t="s">
        <v>497</v>
      </c>
    </row>
    <row r="67" spans="1:5" x14ac:dyDescent="0.25">
      <c r="A67" s="109" t="s">
        <v>384</v>
      </c>
      <c r="B67" s="63"/>
      <c r="C67" s="334">
        <f>IF(Treatment=3,0,IF(Treatment=1,StrawYield/Ex_kap*100,StrawYield/BrKap*100))</f>
        <v>6.76</v>
      </c>
      <c r="D67" s="33" t="s">
        <v>187</v>
      </c>
    </row>
    <row r="68" spans="1:5" x14ac:dyDescent="0.25">
      <c r="A68" s="7" t="s">
        <v>385</v>
      </c>
      <c r="C68" s="375">
        <v>80</v>
      </c>
      <c r="D68" s="326" t="s">
        <v>187</v>
      </c>
      <c r="E68" s="4" t="s">
        <v>540</v>
      </c>
    </row>
  </sheetData>
  <mergeCells count="32">
    <mergeCell ref="I29:J29"/>
    <mergeCell ref="K29:L29"/>
    <mergeCell ref="M29:N29"/>
    <mergeCell ref="O29:P29"/>
    <mergeCell ref="T16:U16"/>
    <mergeCell ref="T29:U29"/>
    <mergeCell ref="R16:S16"/>
    <mergeCell ref="O16:P16"/>
    <mergeCell ref="R29:S29"/>
    <mergeCell ref="M8:N8"/>
    <mergeCell ref="I8:J8"/>
    <mergeCell ref="K8:L8"/>
    <mergeCell ref="I16:J16"/>
    <mergeCell ref="K16:L16"/>
    <mergeCell ref="M16:N16"/>
    <mergeCell ref="B52:C52"/>
    <mergeCell ref="B55:C55"/>
    <mergeCell ref="B53:C53"/>
    <mergeCell ref="B60:C60"/>
    <mergeCell ref="B61:C61"/>
    <mergeCell ref="AK30:AL30"/>
    <mergeCell ref="Z45:AA45"/>
    <mergeCell ref="AB45:AC45"/>
    <mergeCell ref="AD45:AE45"/>
    <mergeCell ref="AF45:AG45"/>
    <mergeCell ref="AI45:AJ45"/>
    <mergeCell ref="AK45:AL45"/>
    <mergeCell ref="Z30:AA30"/>
    <mergeCell ref="AB30:AC30"/>
    <mergeCell ref="AD30:AE30"/>
    <mergeCell ref="AF30:AG30"/>
    <mergeCell ref="AI30:AJ30"/>
  </mergeCells>
  <conditionalFormatting sqref="Q17:Q23">
    <cfRule type="containsText" dxfId="3" priority="3" operator="containsText" text="Fejl">
      <formula>NOT(ISERROR(SEARCH("Fejl",Q17)))</formula>
    </cfRule>
  </conditionalFormatting>
  <conditionalFormatting sqref="AH31:AH37">
    <cfRule type="containsText" dxfId="2" priority="2" operator="containsText" text="Fejl">
      <formula>NOT(ISERROR(SEARCH("Fejl",AH31)))</formula>
    </cfRule>
  </conditionalFormatting>
  <conditionalFormatting sqref="AH46:AH52">
    <cfRule type="containsText" dxfId="1" priority="1" operator="containsText" text="Fejl">
      <formula>NOT(ISERROR(SEARCH("Fejl",AH46)))</formula>
    </cfRule>
  </conditionalFormatting>
  <pageMargins left="0.7" right="0.7" top="0.75" bottom="0.75" header="0.3" footer="0.3"/>
  <ignoredErrors>
    <ignoredError sqref="AK46"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6386" r:id="rId3" name="Drop Down 2">
              <controlPr defaultSize="0" autoLine="0" autoPict="0">
                <anchor moveWithCells="1">
                  <from>
                    <xdr:col>0</xdr:col>
                    <xdr:colOff>9525</xdr:colOff>
                    <xdr:row>42</xdr:row>
                    <xdr:rowOff>9525</xdr:rowOff>
                  </from>
                  <to>
                    <xdr:col>0</xdr:col>
                    <xdr:colOff>1847850</xdr:colOff>
                    <xdr:row>43</xdr:row>
                    <xdr:rowOff>19050</xdr:rowOff>
                  </to>
                </anchor>
              </controlPr>
            </control>
          </mc:Choice>
        </mc:AlternateContent>
        <mc:AlternateContent xmlns:mc="http://schemas.openxmlformats.org/markup-compatibility/2006">
          <mc:Choice Requires="x14">
            <control shapeId="16388" r:id="rId4" name="Drop Down 4">
              <controlPr defaultSize="0" autoLine="0" autoPict="0">
                <anchor moveWithCells="1">
                  <from>
                    <xdr:col>0</xdr:col>
                    <xdr:colOff>38100</xdr:colOff>
                    <xdr:row>33</xdr:row>
                    <xdr:rowOff>9525</xdr:rowOff>
                  </from>
                  <to>
                    <xdr:col>0</xdr:col>
                    <xdr:colOff>1876425</xdr:colOff>
                    <xdr:row>33</xdr:row>
                    <xdr:rowOff>209550</xdr:rowOff>
                  </to>
                </anchor>
              </controlPr>
            </control>
          </mc:Choice>
        </mc:AlternateContent>
        <mc:AlternateContent xmlns:mc="http://schemas.openxmlformats.org/markup-compatibility/2006">
          <mc:Choice Requires="x14">
            <control shapeId="16392" r:id="rId5" name="Button 8">
              <controlPr defaultSize="0" print="0" autoFill="0" autoPict="0" macro="[0]!GåTilHalmResultater">
                <anchor moveWithCells="1" sizeWithCells="1">
                  <from>
                    <xdr:col>6</xdr:col>
                    <xdr:colOff>523875</xdr:colOff>
                    <xdr:row>47</xdr:row>
                    <xdr:rowOff>0</xdr:rowOff>
                  </from>
                  <to>
                    <xdr:col>8</xdr:col>
                    <xdr:colOff>95250</xdr:colOff>
                    <xdr:row>49</xdr:row>
                    <xdr:rowOff>76200</xdr:rowOff>
                  </to>
                </anchor>
              </controlPr>
            </control>
          </mc:Choice>
        </mc:AlternateContent>
        <mc:AlternateContent xmlns:mc="http://schemas.openxmlformats.org/markup-compatibility/2006">
          <mc:Choice Requires="x14">
            <control shapeId="16393" r:id="rId6" name="Button 9">
              <controlPr defaultSize="0" print="0" autoFill="0" autoPict="0" macro="[0]!TilbageTilHovedmenuFraHalm">
                <anchor moveWithCells="1" sizeWithCells="1">
                  <from>
                    <xdr:col>6</xdr:col>
                    <xdr:colOff>581025</xdr:colOff>
                    <xdr:row>43</xdr:row>
                    <xdr:rowOff>9525</xdr:rowOff>
                  </from>
                  <to>
                    <xdr:col>8</xdr:col>
                    <xdr:colOff>66675</xdr:colOff>
                    <xdr:row>45</xdr:row>
                    <xdr:rowOff>85725</xdr:rowOff>
                  </to>
                </anchor>
              </controlPr>
            </control>
          </mc:Choice>
        </mc:AlternateContent>
        <mc:AlternateContent xmlns:mc="http://schemas.openxmlformats.org/markup-compatibility/2006">
          <mc:Choice Requires="x14">
            <control shapeId="16394" r:id="rId7" name="Drop Down 10">
              <controlPr defaultSize="0" autoLine="0" autoPict="0">
                <anchor moveWithCells="1">
                  <from>
                    <xdr:col>0</xdr:col>
                    <xdr:colOff>19050</xdr:colOff>
                    <xdr:row>48</xdr:row>
                    <xdr:rowOff>66675</xdr:rowOff>
                  </from>
                  <to>
                    <xdr:col>0</xdr:col>
                    <xdr:colOff>1857375</xdr:colOff>
                    <xdr:row>49</xdr:row>
                    <xdr:rowOff>76200</xdr:rowOff>
                  </to>
                </anchor>
              </controlPr>
            </control>
          </mc:Choice>
        </mc:AlternateContent>
        <mc:AlternateContent xmlns:mc="http://schemas.openxmlformats.org/markup-compatibility/2006">
          <mc:Choice Requires="x14">
            <control shapeId="16420" r:id="rId8" name="Drop Down 36">
              <controlPr defaultSize="0" autoLine="0" autoPict="0">
                <anchor moveWithCells="1">
                  <from>
                    <xdr:col>0</xdr:col>
                    <xdr:colOff>19050</xdr:colOff>
                    <xdr:row>27</xdr:row>
                    <xdr:rowOff>9525</xdr:rowOff>
                  </from>
                  <to>
                    <xdr:col>0</xdr:col>
                    <xdr:colOff>1857375</xdr:colOff>
                    <xdr:row>28</xdr:row>
                    <xdr:rowOff>19050</xdr:rowOff>
                  </to>
                </anchor>
              </controlPr>
            </control>
          </mc:Choice>
        </mc:AlternateContent>
        <mc:AlternateContent xmlns:mc="http://schemas.openxmlformats.org/markup-compatibility/2006">
          <mc:Choice Requires="x14">
            <control shapeId="16432" r:id="rId9" name="Drop Down 48">
              <controlPr defaultSize="0" autoLine="0" autoPict="0">
                <anchor moveWithCells="1">
                  <from>
                    <xdr:col>7</xdr:col>
                    <xdr:colOff>0</xdr:colOff>
                    <xdr:row>16</xdr:row>
                    <xdr:rowOff>0</xdr:rowOff>
                  </from>
                  <to>
                    <xdr:col>7</xdr:col>
                    <xdr:colOff>1838325</xdr:colOff>
                    <xdr:row>16</xdr:row>
                    <xdr:rowOff>200025</xdr:rowOff>
                  </to>
                </anchor>
              </controlPr>
            </control>
          </mc:Choice>
        </mc:AlternateContent>
        <mc:AlternateContent xmlns:mc="http://schemas.openxmlformats.org/markup-compatibility/2006">
          <mc:Choice Requires="x14">
            <control shapeId="16433" r:id="rId10" name="Drop Down 49">
              <controlPr defaultSize="0" autoLine="0" autoPict="0">
                <anchor moveWithCells="1">
                  <from>
                    <xdr:col>7</xdr:col>
                    <xdr:colOff>0</xdr:colOff>
                    <xdr:row>18</xdr:row>
                    <xdr:rowOff>0</xdr:rowOff>
                  </from>
                  <to>
                    <xdr:col>7</xdr:col>
                    <xdr:colOff>1838325</xdr:colOff>
                    <xdr:row>18</xdr:row>
                    <xdr:rowOff>200025</xdr:rowOff>
                  </to>
                </anchor>
              </controlPr>
            </control>
          </mc:Choice>
        </mc:AlternateContent>
        <mc:AlternateContent xmlns:mc="http://schemas.openxmlformats.org/markup-compatibility/2006">
          <mc:Choice Requires="x14">
            <control shapeId="16434" r:id="rId11" name="Drop Down 50">
              <controlPr defaultSize="0" autoLine="0" autoPict="0">
                <anchor moveWithCells="1">
                  <from>
                    <xdr:col>7</xdr:col>
                    <xdr:colOff>0</xdr:colOff>
                    <xdr:row>20</xdr:row>
                    <xdr:rowOff>0</xdr:rowOff>
                  </from>
                  <to>
                    <xdr:col>7</xdr:col>
                    <xdr:colOff>1838325</xdr:colOff>
                    <xdr:row>20</xdr:row>
                    <xdr:rowOff>200025</xdr:rowOff>
                  </to>
                </anchor>
              </controlPr>
            </control>
          </mc:Choice>
        </mc:AlternateContent>
        <mc:AlternateContent xmlns:mc="http://schemas.openxmlformats.org/markup-compatibility/2006">
          <mc:Choice Requires="x14">
            <control shapeId="16435" r:id="rId12" name="Drop Down 51">
              <controlPr defaultSize="0" autoLine="0" autoPict="0">
                <anchor moveWithCells="1">
                  <from>
                    <xdr:col>7</xdr:col>
                    <xdr:colOff>9525</xdr:colOff>
                    <xdr:row>22</xdr:row>
                    <xdr:rowOff>0</xdr:rowOff>
                  </from>
                  <to>
                    <xdr:col>7</xdr:col>
                    <xdr:colOff>1847850</xdr:colOff>
                    <xdr:row>22</xdr:row>
                    <xdr:rowOff>200025</xdr:rowOff>
                  </to>
                </anchor>
              </controlPr>
            </control>
          </mc:Choice>
        </mc:AlternateContent>
        <mc:AlternateContent xmlns:mc="http://schemas.openxmlformats.org/markup-compatibility/2006">
          <mc:Choice Requires="x14">
            <control shapeId="16441" r:id="rId13" name="Drop Down 57">
              <controlPr defaultSize="0" autoLine="0" autoPict="0">
                <anchor moveWithCells="1">
                  <from>
                    <xdr:col>7</xdr:col>
                    <xdr:colOff>9525</xdr:colOff>
                    <xdr:row>29</xdr:row>
                    <xdr:rowOff>47625</xdr:rowOff>
                  </from>
                  <to>
                    <xdr:col>7</xdr:col>
                    <xdr:colOff>1847850</xdr:colOff>
                    <xdr:row>30</xdr:row>
                    <xdr:rowOff>28575</xdr:rowOff>
                  </to>
                </anchor>
              </controlPr>
            </control>
          </mc:Choice>
        </mc:AlternateContent>
        <mc:AlternateContent xmlns:mc="http://schemas.openxmlformats.org/markup-compatibility/2006">
          <mc:Choice Requires="x14">
            <control shapeId="16442" r:id="rId14" name="Drop Down 58">
              <controlPr defaultSize="0" autoLine="0" autoPict="0">
                <anchor moveWithCells="1">
                  <from>
                    <xdr:col>7</xdr:col>
                    <xdr:colOff>9525</xdr:colOff>
                    <xdr:row>31</xdr:row>
                    <xdr:rowOff>19050</xdr:rowOff>
                  </from>
                  <to>
                    <xdr:col>7</xdr:col>
                    <xdr:colOff>1847850</xdr:colOff>
                    <xdr:row>32</xdr:row>
                    <xdr:rowOff>0</xdr:rowOff>
                  </to>
                </anchor>
              </controlPr>
            </control>
          </mc:Choice>
        </mc:AlternateContent>
        <mc:AlternateContent xmlns:mc="http://schemas.openxmlformats.org/markup-compatibility/2006">
          <mc:Choice Requires="x14">
            <control shapeId="16443" r:id="rId15" name="Drop Down 59">
              <controlPr defaultSize="0" autoLine="0" autoPict="0">
                <anchor moveWithCells="1">
                  <from>
                    <xdr:col>7</xdr:col>
                    <xdr:colOff>0</xdr:colOff>
                    <xdr:row>33</xdr:row>
                    <xdr:rowOff>28575</xdr:rowOff>
                  </from>
                  <to>
                    <xdr:col>7</xdr:col>
                    <xdr:colOff>1838325</xdr:colOff>
                    <xdr:row>34</xdr:row>
                    <xdr:rowOff>9525</xdr:rowOff>
                  </to>
                </anchor>
              </controlPr>
            </control>
          </mc:Choice>
        </mc:AlternateContent>
        <mc:AlternateContent xmlns:mc="http://schemas.openxmlformats.org/markup-compatibility/2006">
          <mc:Choice Requires="x14">
            <control shapeId="16444" r:id="rId16" name="Drop Down 60">
              <controlPr defaultSize="0" autoLine="0" autoPict="0">
                <anchor moveWithCells="1">
                  <from>
                    <xdr:col>7</xdr:col>
                    <xdr:colOff>28575</xdr:colOff>
                    <xdr:row>35</xdr:row>
                    <xdr:rowOff>19050</xdr:rowOff>
                  </from>
                  <to>
                    <xdr:col>7</xdr:col>
                    <xdr:colOff>1866900</xdr:colOff>
                    <xdr:row>36</xdr:row>
                    <xdr:rowOff>0</xdr:rowOff>
                  </to>
                </anchor>
              </controlPr>
            </control>
          </mc:Choice>
        </mc:AlternateContent>
        <mc:AlternateContent xmlns:mc="http://schemas.openxmlformats.org/markup-compatibility/2006">
          <mc:Choice Requires="x14">
            <control shapeId="16445" r:id="rId17" name="Drop Down 61">
              <controlPr defaultSize="0" autoLine="0" autoPict="0">
                <anchor moveWithCells="1">
                  <from>
                    <xdr:col>24</xdr:col>
                    <xdr:colOff>0</xdr:colOff>
                    <xdr:row>30</xdr:row>
                    <xdr:rowOff>0</xdr:rowOff>
                  </from>
                  <to>
                    <xdr:col>24</xdr:col>
                    <xdr:colOff>1838325</xdr:colOff>
                    <xdr:row>30</xdr:row>
                    <xdr:rowOff>200025</xdr:rowOff>
                  </to>
                </anchor>
              </controlPr>
            </control>
          </mc:Choice>
        </mc:AlternateContent>
        <mc:AlternateContent xmlns:mc="http://schemas.openxmlformats.org/markup-compatibility/2006">
          <mc:Choice Requires="x14">
            <control shapeId="16446" r:id="rId18" name="Drop Down 62">
              <controlPr defaultSize="0" autoLine="0" autoPict="0">
                <anchor moveWithCells="1">
                  <from>
                    <xdr:col>24</xdr:col>
                    <xdr:colOff>0</xdr:colOff>
                    <xdr:row>32</xdr:row>
                    <xdr:rowOff>0</xdr:rowOff>
                  </from>
                  <to>
                    <xdr:col>24</xdr:col>
                    <xdr:colOff>1838325</xdr:colOff>
                    <xdr:row>32</xdr:row>
                    <xdr:rowOff>200025</xdr:rowOff>
                  </to>
                </anchor>
              </controlPr>
            </control>
          </mc:Choice>
        </mc:AlternateContent>
        <mc:AlternateContent xmlns:mc="http://schemas.openxmlformats.org/markup-compatibility/2006">
          <mc:Choice Requires="x14">
            <control shapeId="16447" r:id="rId19" name="Drop Down 63">
              <controlPr defaultSize="0" autoLine="0" autoPict="0">
                <anchor moveWithCells="1">
                  <from>
                    <xdr:col>24</xdr:col>
                    <xdr:colOff>0</xdr:colOff>
                    <xdr:row>34</xdr:row>
                    <xdr:rowOff>0</xdr:rowOff>
                  </from>
                  <to>
                    <xdr:col>24</xdr:col>
                    <xdr:colOff>1838325</xdr:colOff>
                    <xdr:row>34</xdr:row>
                    <xdr:rowOff>200025</xdr:rowOff>
                  </to>
                </anchor>
              </controlPr>
            </control>
          </mc:Choice>
        </mc:AlternateContent>
        <mc:AlternateContent xmlns:mc="http://schemas.openxmlformats.org/markup-compatibility/2006">
          <mc:Choice Requires="x14">
            <control shapeId="16448" r:id="rId20" name="Drop Down 64">
              <controlPr defaultSize="0" autoLine="0" autoPict="0">
                <anchor moveWithCells="1">
                  <from>
                    <xdr:col>24</xdr:col>
                    <xdr:colOff>9525</xdr:colOff>
                    <xdr:row>35</xdr:row>
                    <xdr:rowOff>200025</xdr:rowOff>
                  </from>
                  <to>
                    <xdr:col>24</xdr:col>
                    <xdr:colOff>1847850</xdr:colOff>
                    <xdr:row>36</xdr:row>
                    <xdr:rowOff>180975</xdr:rowOff>
                  </to>
                </anchor>
              </controlPr>
            </control>
          </mc:Choice>
        </mc:AlternateContent>
        <mc:AlternateContent xmlns:mc="http://schemas.openxmlformats.org/markup-compatibility/2006">
          <mc:Choice Requires="x14">
            <control shapeId="16453" r:id="rId21" name="Drop Down 69">
              <controlPr defaultSize="0" autoLine="0" autoPict="0">
                <anchor moveWithCells="1">
                  <from>
                    <xdr:col>24</xdr:col>
                    <xdr:colOff>0</xdr:colOff>
                    <xdr:row>45</xdr:row>
                    <xdr:rowOff>0</xdr:rowOff>
                  </from>
                  <to>
                    <xdr:col>24</xdr:col>
                    <xdr:colOff>1838325</xdr:colOff>
                    <xdr:row>45</xdr:row>
                    <xdr:rowOff>200025</xdr:rowOff>
                  </to>
                </anchor>
              </controlPr>
            </control>
          </mc:Choice>
        </mc:AlternateContent>
        <mc:AlternateContent xmlns:mc="http://schemas.openxmlformats.org/markup-compatibility/2006">
          <mc:Choice Requires="x14">
            <control shapeId="16454" r:id="rId22" name="Drop Down 70">
              <controlPr defaultSize="0" autoLine="0" autoPict="0">
                <anchor moveWithCells="1">
                  <from>
                    <xdr:col>24</xdr:col>
                    <xdr:colOff>0</xdr:colOff>
                    <xdr:row>47</xdr:row>
                    <xdr:rowOff>0</xdr:rowOff>
                  </from>
                  <to>
                    <xdr:col>24</xdr:col>
                    <xdr:colOff>1838325</xdr:colOff>
                    <xdr:row>47</xdr:row>
                    <xdr:rowOff>200025</xdr:rowOff>
                  </to>
                </anchor>
              </controlPr>
            </control>
          </mc:Choice>
        </mc:AlternateContent>
        <mc:AlternateContent xmlns:mc="http://schemas.openxmlformats.org/markup-compatibility/2006">
          <mc:Choice Requires="x14">
            <control shapeId="16455" r:id="rId23" name="Drop Down 71">
              <controlPr defaultSize="0" autoLine="0" autoPict="0">
                <anchor moveWithCells="1">
                  <from>
                    <xdr:col>24</xdr:col>
                    <xdr:colOff>0</xdr:colOff>
                    <xdr:row>49</xdr:row>
                    <xdr:rowOff>0</xdr:rowOff>
                  </from>
                  <to>
                    <xdr:col>24</xdr:col>
                    <xdr:colOff>1838325</xdr:colOff>
                    <xdr:row>49</xdr:row>
                    <xdr:rowOff>200025</xdr:rowOff>
                  </to>
                </anchor>
              </controlPr>
            </control>
          </mc:Choice>
        </mc:AlternateContent>
        <mc:AlternateContent xmlns:mc="http://schemas.openxmlformats.org/markup-compatibility/2006">
          <mc:Choice Requires="x14">
            <control shapeId="16456" r:id="rId24" name="Drop Down 72">
              <controlPr defaultSize="0" autoLine="0" autoPict="0">
                <anchor moveWithCells="1">
                  <from>
                    <xdr:col>24</xdr:col>
                    <xdr:colOff>9525</xdr:colOff>
                    <xdr:row>51</xdr:row>
                    <xdr:rowOff>0</xdr:rowOff>
                  </from>
                  <to>
                    <xdr:col>24</xdr:col>
                    <xdr:colOff>1847850</xdr:colOff>
                    <xdr:row>51</xdr:row>
                    <xdr:rowOff>200025</xdr:rowOff>
                  </to>
                </anchor>
              </controlPr>
            </control>
          </mc:Choice>
        </mc:AlternateContent>
        <mc:AlternateContent xmlns:mc="http://schemas.openxmlformats.org/markup-compatibility/2006">
          <mc:Choice Requires="x14">
            <control shapeId="16457" r:id="rId25" name="Drop Down 73">
              <controlPr defaultSize="0" autoLine="0" autoPict="0">
                <anchor moveWithCells="1">
                  <from>
                    <xdr:col>23</xdr:col>
                    <xdr:colOff>600075</xdr:colOff>
                    <xdr:row>20</xdr:row>
                    <xdr:rowOff>38100</xdr:rowOff>
                  </from>
                  <to>
                    <xdr:col>24</xdr:col>
                    <xdr:colOff>1828800</xdr:colOff>
                    <xdr:row>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theme="5" tint="0.59999389629810485"/>
  </sheetPr>
  <dimension ref="A1:AR39"/>
  <sheetViews>
    <sheetView topLeftCell="A7" workbookViewId="0"/>
  </sheetViews>
  <sheetFormatPr defaultRowHeight="15" x14ac:dyDescent="0.25"/>
  <cols>
    <col min="1" max="1" width="37.28515625" style="4" customWidth="1"/>
    <col min="2" max="2" width="9.85546875" style="4" customWidth="1"/>
    <col min="3" max="3" width="5.42578125" style="4" customWidth="1"/>
    <col min="4" max="4" width="7.28515625" style="4" customWidth="1"/>
    <col min="5" max="5" width="12.28515625" style="4" customWidth="1"/>
    <col min="6" max="6" width="37.7109375" style="4" customWidth="1"/>
    <col min="7" max="7" width="8.85546875" style="4" customWidth="1"/>
    <col min="8" max="8" width="10.42578125" style="4" customWidth="1"/>
    <col min="9" max="9" width="3.42578125" style="33" customWidth="1"/>
    <col min="10" max="10" width="12.28515625" style="4" customWidth="1"/>
    <col min="11" max="11" width="9.140625" style="4"/>
    <col min="12" max="12" width="31" style="4" customWidth="1"/>
    <col min="13" max="13" width="10.140625" style="4" customWidth="1"/>
    <col min="14" max="14" width="4.140625" style="33" customWidth="1"/>
    <col min="15" max="15" width="11.5703125" style="4" customWidth="1"/>
    <col min="16" max="16" width="4.28515625" style="4" customWidth="1"/>
    <col min="17" max="17" width="9.28515625" style="4" customWidth="1"/>
    <col min="18" max="18" width="3.5703125" style="4" customWidth="1"/>
    <col min="19" max="19" width="9.42578125" style="4" customWidth="1"/>
    <col min="20" max="20" width="4.28515625" style="4" customWidth="1"/>
    <col min="21" max="21" width="14.42578125" style="4" customWidth="1"/>
    <col min="22" max="22" width="9.5703125" style="4" customWidth="1"/>
    <col min="23" max="23" width="4.28515625" style="4" customWidth="1"/>
    <col min="24" max="24" width="9.140625" style="4"/>
    <col min="25" max="25" width="3.28515625" style="4" customWidth="1"/>
    <col min="26" max="27" width="9.140625" style="4"/>
    <col min="28" max="28" width="15.7109375" style="4" customWidth="1"/>
    <col min="29" max="29" width="13.5703125" style="4" customWidth="1"/>
    <col min="30" max="31" width="9.140625" style="4"/>
    <col min="32" max="32" width="38.7109375" style="64" customWidth="1"/>
    <col min="33" max="34" width="9.140625" style="4"/>
    <col min="35" max="35" width="27.140625" style="4" bestFit="1" customWidth="1"/>
    <col min="36" max="16384" width="9.140625" style="4"/>
  </cols>
  <sheetData>
    <row r="1" spans="1:44" ht="21" x14ac:dyDescent="0.35">
      <c r="A1" s="3" t="s">
        <v>438</v>
      </c>
      <c r="AB1" s="64"/>
      <c r="AF1" s="4"/>
      <c r="AJ1" s="4">
        <v>1</v>
      </c>
      <c r="AR1" s="4">
        <v>1</v>
      </c>
    </row>
    <row r="2" spans="1:44" x14ac:dyDescent="0.25">
      <c r="AB2" s="64"/>
      <c r="AF2" s="4"/>
      <c r="AR2" s="4">
        <v>1</v>
      </c>
    </row>
    <row r="3" spans="1:44" x14ac:dyDescent="0.25">
      <c r="A3" s="5" t="str">
        <f>Straw!A3</f>
        <v>Yield</v>
      </c>
      <c r="F3" s="5" t="s">
        <v>443</v>
      </c>
      <c r="L3" s="5" t="str">
        <f>Straw!H3</f>
        <v>Storage</v>
      </c>
      <c r="U3" s="74"/>
      <c r="AB3" s="64"/>
      <c r="AF3" s="4"/>
      <c r="AR3" s="4">
        <v>2</v>
      </c>
    </row>
    <row r="4" spans="1:44" x14ac:dyDescent="0.25">
      <c r="A4" s="7" t="str">
        <f>Straw!A4</f>
        <v>Yield</v>
      </c>
      <c r="C4" s="245">
        <f>C5*C6</f>
        <v>195</v>
      </c>
      <c r="D4" s="437" t="s">
        <v>127</v>
      </c>
      <c r="E4" s="199"/>
      <c r="L4" s="7" t="str">
        <f>Straw!H4</f>
        <v>Yield</v>
      </c>
      <c r="M4" s="127">
        <f>RapsHøstudbytte</f>
        <v>195</v>
      </c>
      <c r="N4" s="33" t="s">
        <v>127</v>
      </c>
      <c r="AB4" s="64"/>
      <c r="AF4" s="4"/>
      <c r="AR4" s="4">
        <v>2</v>
      </c>
    </row>
    <row r="5" spans="1:44" ht="17.25" x14ac:dyDescent="0.25">
      <c r="A5" s="7" t="str">
        <f>Straw!A5</f>
        <v>Cultivated area</v>
      </c>
      <c r="C5" s="438">
        <v>60</v>
      </c>
      <c r="D5" s="439" t="s">
        <v>165</v>
      </c>
      <c r="E5" s="199"/>
      <c r="F5" s="4" t="s">
        <v>444</v>
      </c>
      <c r="H5" s="58">
        <f>IF(AR4=1,RapsHøstudbytte/G10*100,(IF(AR4=2,RapsHøstudbytte/H18*100,0)))</f>
        <v>1.95</v>
      </c>
      <c r="I5" s="326" t="s">
        <v>187</v>
      </c>
      <c r="L5" s="7" t="str">
        <f>Straw!H5</f>
        <v>Yield as bales</v>
      </c>
      <c r="M5" s="127">
        <f>M4/Densitet_bigballe</f>
        <v>1218.75</v>
      </c>
      <c r="N5" s="33" t="s">
        <v>163</v>
      </c>
      <c r="AB5" s="64"/>
      <c r="AF5" s="4"/>
      <c r="AJ5" s="4">
        <v>2</v>
      </c>
      <c r="AR5" s="4">
        <v>1</v>
      </c>
    </row>
    <row r="6" spans="1:44" ht="17.25" x14ac:dyDescent="0.25">
      <c r="A6" s="7" t="str">
        <f>Straw!A6</f>
        <v>Yield per hectare</v>
      </c>
      <c r="C6" s="438">
        <v>3.25</v>
      </c>
      <c r="D6" s="237" t="s">
        <v>166</v>
      </c>
      <c r="E6" s="199"/>
      <c r="F6" s="4" t="s">
        <v>445</v>
      </c>
      <c r="H6" s="399">
        <v>92</v>
      </c>
      <c r="I6" s="400" t="s">
        <v>187</v>
      </c>
      <c r="L6" s="7" t="str">
        <f>Straw!H6</f>
        <v>Yield as briquettes</v>
      </c>
      <c r="M6" s="127">
        <f>M4/DensBr</f>
        <v>433.33333333333331</v>
      </c>
      <c r="N6" s="33" t="s">
        <v>163</v>
      </c>
      <c r="AB6" s="64"/>
      <c r="AF6" s="4"/>
      <c r="AR6" s="4">
        <v>1</v>
      </c>
    </row>
    <row r="7" spans="1:44" x14ac:dyDescent="0.25">
      <c r="A7" s="7" t="str">
        <f>Straw!A7</f>
        <v>Dry matter</v>
      </c>
      <c r="C7" s="440">
        <v>0.90700000000000003</v>
      </c>
      <c r="D7" s="441"/>
      <c r="E7" s="199"/>
      <c r="F7" s="7"/>
      <c r="G7" s="7"/>
      <c r="H7" s="327"/>
      <c r="I7" s="328"/>
      <c r="U7" s="64"/>
      <c r="AB7" s="64"/>
      <c r="AF7" s="4"/>
      <c r="AR7" s="4">
        <v>2</v>
      </c>
    </row>
    <row r="8" spans="1:44" x14ac:dyDescent="0.25">
      <c r="A8" s="7" t="str">
        <f>Straw!A8</f>
        <v>Organic matter - VS/total</v>
      </c>
      <c r="C8" s="440">
        <v>0.81599999999999995</v>
      </c>
      <c r="D8" s="441"/>
      <c r="E8" s="199"/>
      <c r="F8" s="9" t="s">
        <v>376</v>
      </c>
      <c r="G8" s="7"/>
      <c r="H8" s="7"/>
      <c r="I8" s="342"/>
      <c r="J8" s="7"/>
      <c r="L8" s="5" t="str">
        <f>Straw!H8</f>
        <v>Type of storage</v>
      </c>
      <c r="M8" s="456" t="s">
        <v>448</v>
      </c>
      <c r="N8" s="456"/>
      <c r="O8" s="456" t="s">
        <v>449</v>
      </c>
      <c r="P8" s="456"/>
      <c r="Q8" s="455" t="s">
        <v>365</v>
      </c>
      <c r="R8" s="455"/>
      <c r="S8" s="55"/>
      <c r="T8" s="55"/>
      <c r="U8" s="55"/>
      <c r="AB8" s="64"/>
      <c r="AF8" s="4"/>
      <c r="AR8" s="4">
        <v>1</v>
      </c>
    </row>
    <row r="9" spans="1:44" ht="18.75" x14ac:dyDescent="0.35">
      <c r="A9" s="4" t="s">
        <v>355</v>
      </c>
      <c r="C9" s="247">
        <f>MetanRaps</f>
        <v>310</v>
      </c>
      <c r="D9" s="99" t="s">
        <v>173</v>
      </c>
      <c r="E9" s="199"/>
      <c r="F9" s="7" t="str">
        <f>Straw!A52</f>
        <v>Extruder, mixer, conveyor</v>
      </c>
      <c r="G9" s="462">
        <f>IF(AR4=1,Ex_pris,0)</f>
        <v>0</v>
      </c>
      <c r="H9" s="462"/>
      <c r="I9" s="249" t="s">
        <v>159</v>
      </c>
      <c r="J9" s="7"/>
      <c r="L9" s="7" t="str">
        <f>Straw!H9</f>
        <v>Open barn</v>
      </c>
      <c r="M9" s="28">
        <f>Tabeller!J4</f>
        <v>1001500</v>
      </c>
      <c r="N9" s="185" t="s">
        <v>159</v>
      </c>
      <c r="O9" s="28">
        <f>Tabeller!K4</f>
        <v>-132866.77035645314</v>
      </c>
      <c r="P9" s="28" t="s">
        <v>159</v>
      </c>
      <c r="Q9" s="28">
        <f>Tabeller!M4</f>
        <v>5000</v>
      </c>
      <c r="R9" s="4" t="s">
        <v>163</v>
      </c>
      <c r="AB9" s="64"/>
      <c r="AF9" s="4"/>
      <c r="AR9" s="4">
        <v>1</v>
      </c>
    </row>
    <row r="10" spans="1:44" ht="17.25" x14ac:dyDescent="0.25">
      <c r="C10" s="199"/>
      <c r="D10" s="199"/>
      <c r="E10" s="199"/>
      <c r="F10" s="7" t="str">
        <f>Straw!A53</f>
        <v>Capacity</v>
      </c>
      <c r="G10" s="462">
        <f>IF(AR4=1,Ex_kap,0)</f>
        <v>0</v>
      </c>
      <c r="H10" s="462"/>
      <c r="I10" s="249" t="s">
        <v>446</v>
      </c>
      <c r="J10" s="7"/>
      <c r="L10" s="7" t="str">
        <f>Straw!H10</f>
        <v>Closet barn, concrete floor</v>
      </c>
      <c r="M10" s="28">
        <f>Tabeller!J5</f>
        <v>1816500</v>
      </c>
      <c r="N10" s="185" t="s">
        <v>159</v>
      </c>
      <c r="O10" s="28">
        <f>Tabeller!K5</f>
        <v>-240991.00184972258</v>
      </c>
      <c r="P10" s="28" t="s">
        <v>159</v>
      </c>
      <c r="Q10" s="28">
        <f>Tabeller!M5</f>
        <v>5000</v>
      </c>
      <c r="R10" s="4" t="s">
        <v>163</v>
      </c>
      <c r="AB10" s="64"/>
      <c r="AF10" s="4"/>
      <c r="AR10" s="4">
        <v>1</v>
      </c>
    </row>
    <row r="11" spans="1:44" ht="17.25" x14ac:dyDescent="0.25">
      <c r="A11" s="5" t="str">
        <f>Straw!A15</f>
        <v>Field expenses</v>
      </c>
      <c r="C11" s="199"/>
      <c r="D11" s="100"/>
      <c r="E11" s="100"/>
      <c r="F11" s="7" t="str">
        <f>Straw!A54</f>
        <v>Operation &amp; maintainance</v>
      </c>
      <c r="G11" s="343"/>
      <c r="H11" s="93">
        <f>IF(AR4=1,Ex_driftogVedlige,0)</f>
        <v>0</v>
      </c>
      <c r="I11" s="249" t="s">
        <v>168</v>
      </c>
      <c r="J11" s="7"/>
      <c r="L11" s="7" t="str">
        <f>Straw!H11</f>
        <v>Closet barn, gravel floor</v>
      </c>
      <c r="M11" s="28">
        <f>Tabeller!J6</f>
        <v>1391500</v>
      </c>
      <c r="N11" s="185" t="s">
        <v>159</v>
      </c>
      <c r="O11" s="28">
        <f>Tabeller!K6</f>
        <v>-184607.2001507784</v>
      </c>
      <c r="P11" s="28" t="s">
        <v>159</v>
      </c>
      <c r="Q11" s="28">
        <f>Tabeller!M6</f>
        <v>5000</v>
      </c>
      <c r="R11" s="4" t="s">
        <v>163</v>
      </c>
      <c r="AB11" s="64"/>
      <c r="AF11" s="4"/>
      <c r="AR11" s="4">
        <v>1</v>
      </c>
    </row>
    <row r="12" spans="1:44" ht="17.25" x14ac:dyDescent="0.25">
      <c r="A12" s="7" t="str">
        <f>Straw!A16</f>
        <v>Raking</v>
      </c>
      <c r="C12" s="442">
        <v>0</v>
      </c>
      <c r="D12" s="443" t="s">
        <v>168</v>
      </c>
      <c r="E12" s="443"/>
      <c r="F12" s="7" t="str">
        <f>Straw!A55</f>
        <v>Insurance</v>
      </c>
      <c r="G12" s="462">
        <f>IF(AR4=1,EX_forsik,0)</f>
        <v>0</v>
      </c>
      <c r="H12" s="462"/>
      <c r="I12" s="249" t="s">
        <v>159</v>
      </c>
      <c r="J12" s="7"/>
      <c r="L12" s="7" t="str">
        <f>Straw!H12</f>
        <v>Barn for briquettes</v>
      </c>
      <c r="M12" s="28">
        <f>Tabeller!J7</f>
        <v>1816500</v>
      </c>
      <c r="N12" s="185" t="s">
        <v>159</v>
      </c>
      <c r="O12" s="28">
        <f>Tabeller!K7</f>
        <v>-240991.00184972258</v>
      </c>
      <c r="P12" s="28" t="s">
        <v>159</v>
      </c>
      <c r="Q12" s="28">
        <f>Tabeller!M7</f>
        <v>5000</v>
      </c>
      <c r="R12" s="4" t="s">
        <v>163</v>
      </c>
      <c r="AB12" s="64"/>
      <c r="AF12" s="4"/>
      <c r="AR12" s="4">
        <v>1</v>
      </c>
    </row>
    <row r="13" spans="1:44" x14ac:dyDescent="0.25">
      <c r="A13" s="7" t="str">
        <f>Straw!A17</f>
        <v>Baling</v>
      </c>
      <c r="C13" s="444">
        <f>Pressing_bigbale</f>
        <v>-145.45454545454544</v>
      </c>
      <c r="D13" s="443" t="s">
        <v>168</v>
      </c>
      <c r="E13" s="443"/>
      <c r="F13" s="7" t="str">
        <f>Straw!A56</f>
        <v>Service life</v>
      </c>
      <c r="G13" s="462">
        <f>IF(AR4=1,Ex_levetid,0)</f>
        <v>0</v>
      </c>
      <c r="H13" s="462"/>
      <c r="I13" s="250" t="s">
        <v>447</v>
      </c>
      <c r="J13" s="7"/>
      <c r="O13" s="58"/>
      <c r="AB13" s="64"/>
      <c r="AF13" s="4"/>
      <c r="AR13" s="4">
        <v>1</v>
      </c>
    </row>
    <row r="14" spans="1:44" x14ac:dyDescent="0.25">
      <c r="A14" s="7"/>
      <c r="C14" s="199"/>
      <c r="D14" s="199"/>
      <c r="E14" s="199"/>
      <c r="F14" s="7" t="str">
        <f>Straw!A57</f>
        <v>Yearly payment</v>
      </c>
      <c r="G14" s="462">
        <f>IF(AR4=1,Ex_Ydelse,0)</f>
        <v>0</v>
      </c>
      <c r="H14" s="462"/>
      <c r="I14" s="249" t="s">
        <v>159</v>
      </c>
      <c r="J14" s="7"/>
      <c r="K14" s="110"/>
      <c r="L14" s="111"/>
      <c r="M14" s="111"/>
      <c r="N14" s="186"/>
      <c r="O14" s="112"/>
      <c r="P14" s="111"/>
      <c r="Q14" s="111"/>
      <c r="R14" s="111"/>
      <c r="S14" s="111"/>
      <c r="T14" s="111"/>
      <c r="U14" s="111"/>
      <c r="V14" s="111"/>
      <c r="W14" s="111"/>
      <c r="X14" s="111"/>
      <c r="Y14" s="111"/>
      <c r="Z14" s="113"/>
      <c r="AC14" s="27"/>
    </row>
    <row r="15" spans="1:44" x14ac:dyDescent="0.25">
      <c r="A15" s="5" t="str">
        <f>Straw!A19</f>
        <v>Transport to farmer/barn</v>
      </c>
      <c r="F15" s="7"/>
      <c r="G15" s="7"/>
      <c r="H15" s="344"/>
      <c r="I15" s="345"/>
      <c r="J15" s="7"/>
      <c r="K15" s="114"/>
      <c r="L15" s="12"/>
      <c r="M15" s="12"/>
      <c r="N15" s="104"/>
      <c r="O15" s="12"/>
      <c r="P15" s="12"/>
      <c r="Q15" s="12"/>
      <c r="R15" s="12"/>
      <c r="S15" s="12"/>
      <c r="T15" s="12"/>
      <c r="U15" s="12"/>
      <c r="V15" s="12"/>
      <c r="W15" s="12"/>
      <c r="X15" s="12"/>
      <c r="Y15" s="12"/>
      <c r="Z15" s="115"/>
      <c r="AC15" s="28"/>
    </row>
    <row r="16" spans="1:44" ht="17.25" x14ac:dyDescent="0.25">
      <c r="A16" s="7" t="str">
        <f>Straw!A20</f>
        <v>Distance</v>
      </c>
      <c r="C16" s="238">
        <v>0.5</v>
      </c>
      <c r="D16" s="195" t="s">
        <v>111</v>
      </c>
      <c r="F16" s="9" t="str">
        <f>Straw!A59</f>
        <v>Briquetting expenses</v>
      </c>
      <c r="G16" s="7"/>
      <c r="H16" s="7"/>
      <c r="I16" s="342"/>
      <c r="J16" s="7"/>
      <c r="K16" s="114"/>
      <c r="L16" s="116" t="str">
        <f>Straw!H16</f>
        <v>Storage at farmer</v>
      </c>
      <c r="M16" s="457" t="s">
        <v>365</v>
      </c>
      <c r="N16" s="457"/>
      <c r="O16" s="458" t="s">
        <v>450</v>
      </c>
      <c r="P16" s="458"/>
      <c r="Q16" s="458" t="s">
        <v>451</v>
      </c>
      <c r="R16" s="458"/>
      <c r="S16" s="457" t="s">
        <v>431</v>
      </c>
      <c r="T16" s="457"/>
      <c r="U16" s="325" t="s">
        <v>452</v>
      </c>
      <c r="V16" s="457" t="s">
        <v>453</v>
      </c>
      <c r="W16" s="457"/>
      <c r="X16" s="457" t="s">
        <v>399</v>
      </c>
      <c r="Y16" s="457"/>
      <c r="Z16" s="115"/>
    </row>
    <row r="17" spans="1:28" ht="17.25" x14ac:dyDescent="0.25">
      <c r="A17" s="7" t="str">
        <f>Straw!A21</f>
        <v>Tractor equipped with front loader &amp; 2 bale trailers</v>
      </c>
      <c r="C17" s="78">
        <f>Normer!TraktorFrontVogn</f>
        <v>-650</v>
      </c>
      <c r="D17" s="316" t="s">
        <v>442</v>
      </c>
      <c r="F17" s="7" t="str">
        <f>Straw!A60</f>
        <v xml:space="preserve">Briquetter, hammer mill, installation </v>
      </c>
      <c r="G17" s="7"/>
      <c r="H17" s="93">
        <f>IF(AR4=2,BrPrisSamlet,0)</f>
        <v>-4723000</v>
      </c>
      <c r="I17" s="249" t="s">
        <v>159</v>
      </c>
      <c r="J17" s="7"/>
      <c r="K17" s="114"/>
      <c r="L17" s="12"/>
      <c r="M17" s="128">
        <f>VLOOKUP(AR6,Tabeller!H4:M7,6)</f>
        <v>5000</v>
      </c>
      <c r="N17" s="187" t="s">
        <v>163</v>
      </c>
      <c r="O17" s="131">
        <v>1219</v>
      </c>
      <c r="P17" s="125" t="s">
        <v>163</v>
      </c>
      <c r="Q17" s="131">
        <v>2000</v>
      </c>
      <c r="R17" s="125" t="s">
        <v>163</v>
      </c>
      <c r="S17" s="132">
        <f>O17+Q17</f>
        <v>3219</v>
      </c>
      <c r="T17" s="125" t="s">
        <v>163</v>
      </c>
      <c r="U17" s="118">
        <f>IF(S17&gt;M17,"Fejl",S17/M17)</f>
        <v>0.64380000000000004</v>
      </c>
      <c r="V17" s="14">
        <f>IF(S17&gt;0,VLOOKUP(AR6,Tabeller!H4:M7,4)/S17,0)</f>
        <v>-41.275790728938532</v>
      </c>
      <c r="W17" s="14" t="s">
        <v>159</v>
      </c>
      <c r="X17" s="92">
        <f>O17*V17</f>
        <v>-50315.188898576067</v>
      </c>
      <c r="Y17" s="12" t="s">
        <v>159</v>
      </c>
      <c r="Z17" s="115"/>
    </row>
    <row r="18" spans="1:28" x14ac:dyDescent="0.25">
      <c r="A18" s="7" t="str">
        <f>Straw!A22</f>
        <v>Bale capacity</v>
      </c>
      <c r="C18" s="78">
        <f>Normer!F_kapacitet_baller_1mand</f>
        <v>20</v>
      </c>
      <c r="D18" s="316" t="s">
        <v>433</v>
      </c>
      <c r="F18" s="7" t="str">
        <f>Straw!A61</f>
        <v>Capacity</v>
      </c>
      <c r="G18" s="7"/>
      <c r="H18" s="93">
        <f>IF(AR4=2,PresserKap,0)</f>
        <v>10000</v>
      </c>
      <c r="I18" s="249" t="s">
        <v>446</v>
      </c>
      <c r="J18" s="7"/>
      <c r="K18" s="114"/>
      <c r="L18" s="12"/>
      <c r="M18" s="125"/>
      <c r="N18" s="187"/>
      <c r="O18" s="125"/>
      <c r="P18" s="125"/>
      <c r="Q18" s="128"/>
      <c r="R18" s="125"/>
      <c r="S18" s="125"/>
      <c r="T18" s="125"/>
      <c r="U18" s="118"/>
      <c r="V18" s="14" t="str">
        <f>IF(M18&gt;0,VLOOKUP(#REF!,Tabeller!L5:Q8,4)/S18,"")</f>
        <v/>
      </c>
      <c r="W18" s="14"/>
      <c r="X18" s="92"/>
      <c r="Y18" s="12"/>
      <c r="Z18" s="115"/>
      <c r="AB18" s="28"/>
    </row>
    <row r="19" spans="1:28" ht="17.25" x14ac:dyDescent="0.25">
      <c r="A19" s="7" t="str">
        <f>Straw!A23</f>
        <v>Capacity in tonnes</v>
      </c>
      <c r="C19" s="78"/>
      <c r="D19" s="101"/>
      <c r="F19" s="7" t="str">
        <f>Straw!A62</f>
        <v>Operation &amp; maintainence</v>
      </c>
      <c r="G19" s="7"/>
      <c r="H19" s="93">
        <f>IF(AR4=2,Br_driftogvedlige,0)</f>
        <v>-76</v>
      </c>
      <c r="I19" s="249" t="s">
        <v>120</v>
      </c>
      <c r="J19" s="7"/>
      <c r="K19" s="114"/>
      <c r="L19" s="12"/>
      <c r="M19" s="125">
        <f>VLOOKUP(AR7,Tabeller!H4:M7,6)</f>
        <v>5000</v>
      </c>
      <c r="N19" s="187" t="s">
        <v>163</v>
      </c>
      <c r="O19" s="133">
        <v>0</v>
      </c>
      <c r="P19" s="125" t="s">
        <v>163</v>
      </c>
      <c r="Q19" s="131">
        <v>0</v>
      </c>
      <c r="R19" s="125" t="s">
        <v>163</v>
      </c>
      <c r="S19" s="125">
        <f>O19+Q19</f>
        <v>0</v>
      </c>
      <c r="T19" s="125" t="s">
        <v>163</v>
      </c>
      <c r="U19" s="118">
        <f>IF(S19&gt;M19,"Fejl",S19/M19)</f>
        <v>0</v>
      </c>
      <c r="V19" s="14">
        <f>IF(S19&gt;0,VLOOKUP(AR7,Tabeller!H4:M7,4)/S19,0)</f>
        <v>0</v>
      </c>
      <c r="W19" s="14" t="s">
        <v>159</v>
      </c>
      <c r="X19" s="92">
        <f>O19*V19</f>
        <v>0</v>
      </c>
      <c r="Y19" s="12" t="s">
        <v>159</v>
      </c>
      <c r="Z19" s="115"/>
      <c r="AB19" s="27"/>
    </row>
    <row r="20" spans="1:28" x14ac:dyDescent="0.25">
      <c r="A20" s="7" t="str">
        <f>Straw!A24</f>
        <v>Loading rate, field</v>
      </c>
      <c r="C20" s="79">
        <f>Frontlæssehast_mark/C6</f>
        <v>2.7692307692307692</v>
      </c>
      <c r="D20" s="103" t="s">
        <v>161</v>
      </c>
      <c r="F20" s="7" t="str">
        <f>Straw!A63</f>
        <v>Insurance</v>
      </c>
      <c r="G20" s="7"/>
      <c r="H20" s="93">
        <f>IF(AR4=2,Br_Forsik,0)</f>
        <v>-50000</v>
      </c>
      <c r="I20" s="249" t="s">
        <v>159</v>
      </c>
      <c r="J20" s="7"/>
      <c r="K20" s="114"/>
      <c r="L20" s="12"/>
      <c r="M20" s="125"/>
      <c r="N20" s="187"/>
      <c r="O20" s="125"/>
      <c r="P20" s="125"/>
      <c r="Q20" s="128"/>
      <c r="R20" s="125"/>
      <c r="S20" s="128"/>
      <c r="T20" s="128"/>
      <c r="U20" s="118"/>
      <c r="V20" s="14"/>
      <c r="W20" s="14"/>
      <c r="X20" s="92"/>
      <c r="Y20" s="12"/>
      <c r="Z20" s="115"/>
    </row>
    <row r="21" spans="1:28" ht="17.25" x14ac:dyDescent="0.25">
      <c r="A21" s="7" t="str">
        <f>Straw!A25</f>
        <v>Loading rate, stock</v>
      </c>
      <c r="C21" s="79">
        <f>LæsFrontBig</f>
        <v>0.60606060606060597</v>
      </c>
      <c r="D21" s="103" t="s">
        <v>161</v>
      </c>
      <c r="F21" s="7" t="str">
        <f>Straw!A64</f>
        <v>Service life</v>
      </c>
      <c r="G21" s="7"/>
      <c r="H21" s="248">
        <f>IF(AR4=2,Br_Levetid,0)</f>
        <v>10</v>
      </c>
      <c r="I21" s="250" t="s">
        <v>447</v>
      </c>
      <c r="J21" s="7"/>
      <c r="K21" s="114"/>
      <c r="L21" s="12"/>
      <c r="M21" s="128">
        <f>VLOOKUP(AR8,Tabeller!H4:M7,6)</f>
        <v>5000</v>
      </c>
      <c r="N21" s="187" t="s">
        <v>163</v>
      </c>
      <c r="O21" s="133">
        <v>0</v>
      </c>
      <c r="P21" s="125" t="s">
        <v>163</v>
      </c>
      <c r="Q21" s="131">
        <v>0</v>
      </c>
      <c r="R21" s="125" t="s">
        <v>163</v>
      </c>
      <c r="S21" s="125">
        <f>O21+Q21</f>
        <v>0</v>
      </c>
      <c r="T21" s="125" t="s">
        <v>163</v>
      </c>
      <c r="U21" s="118">
        <f>IF(S21&gt;M21,"Fejl",S21/M21)</f>
        <v>0</v>
      </c>
      <c r="V21" s="14">
        <f>IF(S21&gt;0,VLOOKUP(AR8,Tabeller!H4:M7,4)/S21,0)</f>
        <v>0</v>
      </c>
      <c r="W21" s="14" t="s">
        <v>159</v>
      </c>
      <c r="X21" s="92">
        <f>O21*V21</f>
        <v>0</v>
      </c>
      <c r="Y21" s="12" t="s">
        <v>159</v>
      </c>
      <c r="Z21" s="115"/>
      <c r="AB21" s="28"/>
    </row>
    <row r="22" spans="1:28" x14ac:dyDescent="0.25">
      <c r="A22" s="7"/>
      <c r="F22" s="7" t="str">
        <f>Straw!A65</f>
        <v>Yearly payment</v>
      </c>
      <c r="G22" s="7"/>
      <c r="H22" s="93">
        <f>IF(AR4=2,Br_Ydelse,0)</f>
        <v>-626589.87158614898</v>
      </c>
      <c r="I22" s="249" t="s">
        <v>159</v>
      </c>
      <c r="J22" s="7"/>
      <c r="K22" s="114"/>
      <c r="L22" s="12"/>
      <c r="M22" s="125"/>
      <c r="N22" s="187"/>
      <c r="O22" s="125"/>
      <c r="P22" s="125"/>
      <c r="Q22" s="128"/>
      <c r="R22" s="125"/>
      <c r="S22" s="125"/>
      <c r="T22" s="125"/>
      <c r="U22" s="118"/>
      <c r="V22" s="14" t="str">
        <f>IF(M22&gt;0,VLOOKUP(#REF!,Tabeller!L9:Q12,4)/S22,"")</f>
        <v/>
      </c>
      <c r="W22" s="14"/>
      <c r="X22" s="92"/>
      <c r="Y22" s="12"/>
      <c r="Z22" s="115"/>
    </row>
    <row r="23" spans="1:28" ht="17.25" x14ac:dyDescent="0.25">
      <c r="A23" s="5" t="str">
        <f>Straw!A27</f>
        <v>Farm Loading</v>
      </c>
      <c r="F23" s="9"/>
      <c r="G23" s="7"/>
      <c r="H23" s="243"/>
      <c r="I23" s="250"/>
      <c r="J23" s="7"/>
      <c r="K23" s="114"/>
      <c r="L23" s="12"/>
      <c r="M23" s="125">
        <f>VLOOKUP(AR9,Tabeller!H4:M7,6)</f>
        <v>5000</v>
      </c>
      <c r="N23" s="187" t="s">
        <v>163</v>
      </c>
      <c r="O23" s="133">
        <v>0</v>
      </c>
      <c r="P23" s="125" t="s">
        <v>163</v>
      </c>
      <c r="Q23" s="131">
        <v>0</v>
      </c>
      <c r="R23" s="125" t="s">
        <v>163</v>
      </c>
      <c r="S23" s="125">
        <f>O23+Q23</f>
        <v>0</v>
      </c>
      <c r="T23" s="125" t="s">
        <v>163</v>
      </c>
      <c r="U23" s="118">
        <f>IF(S23&gt;M23,"Fejl",S23/M23)</f>
        <v>0</v>
      </c>
      <c r="V23" s="14">
        <f>IF(S23&gt;0,VLOOKUP(AR9,Tabeller!H4:M7,4)/S23,0)</f>
        <v>0</v>
      </c>
      <c r="W23" s="14" t="s">
        <v>159</v>
      </c>
      <c r="X23" s="92">
        <f>O23*V23</f>
        <v>0</v>
      </c>
      <c r="Y23" s="12" t="s">
        <v>159</v>
      </c>
      <c r="Z23" s="115"/>
      <c r="AB23" s="28"/>
    </row>
    <row r="24" spans="1:28" x14ac:dyDescent="0.25">
      <c r="F24" s="9"/>
      <c r="G24" s="7"/>
      <c r="H24" s="341"/>
      <c r="I24" s="342"/>
      <c r="J24" s="7"/>
      <c r="K24" s="114"/>
      <c r="L24" s="12"/>
      <c r="M24" s="125"/>
      <c r="N24" s="187"/>
      <c r="O24" s="125"/>
      <c r="P24" s="125"/>
      <c r="Q24" s="125"/>
      <c r="R24" s="125"/>
      <c r="S24" s="125"/>
      <c r="T24" s="125"/>
      <c r="U24" s="120">
        <f>SUM(U17+U19+U21+U23)</f>
        <v>0.64380000000000004</v>
      </c>
      <c r="V24" s="12"/>
      <c r="W24" s="12"/>
      <c r="X24" s="92"/>
      <c r="Y24" s="12"/>
      <c r="Z24" s="115"/>
      <c r="AB24" s="28"/>
    </row>
    <row r="25" spans="1:28" ht="18" thickBot="1" x14ac:dyDescent="0.3">
      <c r="A25" s="4" t="str">
        <f>VLOOKUP(AR2,Tabeller!H9:K10,2)</f>
        <v>Tractor &amp; Frontloader</v>
      </c>
      <c r="C25" s="236">
        <f>VLOOKUP(AR2,Tabeller!H9:J10,3)</f>
        <v>-650</v>
      </c>
      <c r="D25" s="316" t="s">
        <v>432</v>
      </c>
      <c r="J25" s="7"/>
      <c r="K25" s="114"/>
      <c r="L25" s="75" t="s">
        <v>436</v>
      </c>
      <c r="M25" s="91"/>
      <c r="N25" s="188"/>
      <c r="O25" s="91">
        <f>O17+O19+O21+O23</f>
        <v>1219</v>
      </c>
      <c r="P25" s="91" t="s">
        <v>163</v>
      </c>
      <c r="Q25" s="125"/>
      <c r="R25" s="125"/>
      <c r="S25" s="125"/>
      <c r="T25" s="125"/>
      <c r="U25" s="12"/>
      <c r="V25" s="75" t="s">
        <v>460</v>
      </c>
      <c r="W25" s="75"/>
      <c r="X25" s="90">
        <f>IF(U24="#VÆRDI!","Fejl",SUM(X17+X19+X21+X23))</f>
        <v>-50315.188898576067</v>
      </c>
      <c r="Y25" s="75" t="s">
        <v>159</v>
      </c>
      <c r="Z25" s="115"/>
    </row>
    <row r="26" spans="1:28" x14ac:dyDescent="0.25">
      <c r="A26" s="4" t="str">
        <f>VLOOKUP(AR2,Tabeller!H9:M10,5)</f>
        <v>Loading speed</v>
      </c>
      <c r="C26" s="346">
        <f>IF(AR2=1,LæsFrontBig,LæsseTeleBig)</f>
        <v>0.60606060606060597</v>
      </c>
      <c r="D26" s="194" t="s">
        <v>161</v>
      </c>
      <c r="J26" s="7"/>
      <c r="K26" s="121"/>
      <c r="L26" s="13"/>
      <c r="M26" s="129"/>
      <c r="N26" s="189"/>
      <c r="O26" s="129"/>
      <c r="P26" s="129"/>
      <c r="Q26" s="129"/>
      <c r="R26" s="129"/>
      <c r="S26" s="129"/>
      <c r="T26" s="129"/>
      <c r="U26" s="13"/>
      <c r="V26" s="122"/>
      <c r="W26" s="122"/>
      <c r="X26" s="13"/>
      <c r="Y26" s="13"/>
      <c r="Z26" s="123"/>
    </row>
    <row r="27" spans="1:28" x14ac:dyDescent="0.25">
      <c r="C27" s="56"/>
      <c r="J27" s="7"/>
      <c r="M27" s="60"/>
      <c r="N27" s="190"/>
      <c r="O27" s="60"/>
      <c r="P27" s="60"/>
      <c r="Q27" s="60"/>
      <c r="R27" s="60"/>
      <c r="S27" s="60"/>
      <c r="T27" s="60"/>
      <c r="V27" s="65"/>
      <c r="W27" s="65"/>
      <c r="AB27" s="28"/>
    </row>
    <row r="28" spans="1:28" x14ac:dyDescent="0.25">
      <c r="A28" s="5" t="s">
        <v>369</v>
      </c>
      <c r="J28" s="7"/>
      <c r="K28" s="110"/>
      <c r="L28" s="111"/>
      <c r="M28" s="130"/>
      <c r="N28" s="191"/>
      <c r="O28" s="130"/>
      <c r="P28" s="130"/>
      <c r="Q28" s="130"/>
      <c r="R28" s="130"/>
      <c r="S28" s="130"/>
      <c r="T28" s="130"/>
      <c r="U28" s="111"/>
      <c r="V28" s="124"/>
      <c r="W28" s="124"/>
      <c r="X28" s="111"/>
      <c r="Y28" s="111"/>
      <c r="Z28" s="113"/>
      <c r="AB28" s="28"/>
    </row>
    <row r="29" spans="1:28" ht="17.25" x14ac:dyDescent="0.25">
      <c r="K29" s="114"/>
      <c r="L29" s="116" t="s">
        <v>461</v>
      </c>
      <c r="M29" s="459" t="s">
        <v>365</v>
      </c>
      <c r="N29" s="459"/>
      <c r="O29" s="460" t="s">
        <v>450</v>
      </c>
      <c r="P29" s="460"/>
      <c r="Q29" s="460" t="s">
        <v>451</v>
      </c>
      <c r="R29" s="460"/>
      <c r="S29" s="459" t="s">
        <v>431</v>
      </c>
      <c r="T29" s="459"/>
      <c r="U29" s="325" t="s">
        <v>452</v>
      </c>
      <c r="V29" s="461" t="s">
        <v>453</v>
      </c>
      <c r="W29" s="461"/>
      <c r="X29" s="457" t="s">
        <v>399</v>
      </c>
      <c r="Y29" s="457"/>
      <c r="Z29" s="115"/>
      <c r="AB29" s="28"/>
    </row>
    <row r="30" spans="1:28" ht="17.25" x14ac:dyDescent="0.25">
      <c r="A30" s="4" t="s">
        <v>363</v>
      </c>
      <c r="C30" s="241">
        <v>100</v>
      </c>
      <c r="D30" s="242" t="s">
        <v>111</v>
      </c>
      <c r="K30" s="114"/>
      <c r="L30" s="12"/>
      <c r="M30" s="125">
        <f>VLOOKUP(AR10,Tabeller!H4:M7,6)</f>
        <v>5000</v>
      </c>
      <c r="N30" s="187" t="s">
        <v>163</v>
      </c>
      <c r="O30" s="133">
        <v>433</v>
      </c>
      <c r="P30" s="125" t="s">
        <v>163</v>
      </c>
      <c r="Q30" s="133">
        <v>4000</v>
      </c>
      <c r="R30" s="125" t="s">
        <v>163</v>
      </c>
      <c r="S30" s="125">
        <f>O30+Q30</f>
        <v>4433</v>
      </c>
      <c r="T30" s="125" t="s">
        <v>163</v>
      </c>
      <c r="U30" s="118">
        <f>IF(S30&gt;M30,"Fejl",S30/M30)</f>
        <v>0.88660000000000005</v>
      </c>
      <c r="V30" s="14">
        <f>IF(S30&gt;0,VLOOKUP(AR10,Tabeller!H4:M7,4)/S30,0)</f>
        <v>-29.972201749707452</v>
      </c>
      <c r="W30" s="119" t="s">
        <v>159</v>
      </c>
      <c r="X30" s="125">
        <f>O30*V30</f>
        <v>-12977.963357623326</v>
      </c>
      <c r="Y30" s="12" t="s">
        <v>159</v>
      </c>
      <c r="Z30" s="115"/>
    </row>
    <row r="31" spans="1:28" x14ac:dyDescent="0.25">
      <c r="A31" s="4" t="str">
        <f>VLOOKUP(AR3,Tabeller!H16:K17,2)</f>
        <v>Tractor &amp; trailer</v>
      </c>
      <c r="C31" s="236">
        <f>VLOOKUP(AR3,Tabeller!H16:K17,4)</f>
        <v>-550</v>
      </c>
      <c r="D31" s="316" t="s">
        <v>432</v>
      </c>
      <c r="K31" s="114"/>
      <c r="L31" s="12"/>
      <c r="M31" s="125"/>
      <c r="N31" s="187"/>
      <c r="O31" s="125"/>
      <c r="P31" s="125"/>
      <c r="Q31" s="125"/>
      <c r="R31" s="125"/>
      <c r="S31" s="125"/>
      <c r="T31" s="125"/>
      <c r="U31" s="118"/>
      <c r="V31" s="14" t="str">
        <f>IF(M31&gt;0,VLOOKUP(#REF!,Tabeller!L18:Q21,4)/S31,"")</f>
        <v/>
      </c>
      <c r="W31" s="12"/>
      <c r="X31" s="125"/>
      <c r="Y31" s="12"/>
      <c r="Z31" s="115"/>
    </row>
    <row r="32" spans="1:28" ht="17.25" x14ac:dyDescent="0.25">
      <c r="A32" s="4" t="s">
        <v>440</v>
      </c>
      <c r="C32" s="236">
        <f>VLOOKUP(AR3,Tabeller!H16:L17,5)</f>
        <v>24</v>
      </c>
      <c r="D32" s="316" t="s">
        <v>433</v>
      </c>
      <c r="K32" s="114"/>
      <c r="L32" s="12"/>
      <c r="M32" s="125">
        <f>VLOOKUP(AR11,Tabeller!H4:M7,6)</f>
        <v>5000</v>
      </c>
      <c r="N32" s="187" t="s">
        <v>163</v>
      </c>
      <c r="O32" s="133">
        <v>0</v>
      </c>
      <c r="P32" s="125" t="s">
        <v>163</v>
      </c>
      <c r="Q32" s="133">
        <v>0</v>
      </c>
      <c r="R32" s="125" t="s">
        <v>163</v>
      </c>
      <c r="S32" s="125">
        <f>O32+Q32</f>
        <v>0</v>
      </c>
      <c r="T32" s="125" t="s">
        <v>163</v>
      </c>
      <c r="U32" s="118">
        <f>IF(S32&gt;M32,"Fejl",S32/M32)</f>
        <v>0</v>
      </c>
      <c r="V32" s="14">
        <f>IF(S32&gt;0,VLOOKUP(AR11,Tabeller!H4:M7,4)/S32,0)</f>
        <v>0</v>
      </c>
      <c r="W32" s="12" t="s">
        <v>159</v>
      </c>
      <c r="X32" s="125">
        <f>O32*V32</f>
        <v>0</v>
      </c>
      <c r="Y32" s="12" t="s">
        <v>159</v>
      </c>
      <c r="Z32" s="115"/>
    </row>
    <row r="33" spans="1:26" x14ac:dyDescent="0.25">
      <c r="A33" s="4" t="s">
        <v>441</v>
      </c>
      <c r="C33" s="236">
        <f>C32*Storballevægt</f>
        <v>13.200000000000001</v>
      </c>
      <c r="D33" s="448" t="s">
        <v>434</v>
      </c>
      <c r="K33" s="114"/>
      <c r="L33" s="12"/>
      <c r="M33" s="125"/>
      <c r="N33" s="187"/>
      <c r="O33" s="125"/>
      <c r="P33" s="125"/>
      <c r="Q33" s="125"/>
      <c r="R33" s="125"/>
      <c r="S33" s="125"/>
      <c r="T33" s="125"/>
      <c r="U33" s="118"/>
      <c r="V33" s="14"/>
      <c r="W33" s="12"/>
      <c r="X33" s="125"/>
      <c r="Y33" s="12"/>
      <c r="Z33" s="115"/>
    </row>
    <row r="34" spans="1:26" ht="17.25" x14ac:dyDescent="0.25">
      <c r="A34" s="4" t="s">
        <v>373</v>
      </c>
      <c r="C34" s="236">
        <f>VLOOKUP(AR3,Tabeller!H16:M17,6)</f>
        <v>25</v>
      </c>
      <c r="D34" s="448" t="s">
        <v>435</v>
      </c>
      <c r="F34" s="27"/>
      <c r="K34" s="114"/>
      <c r="L34" s="12"/>
      <c r="M34" s="125">
        <f>VLOOKUP(AR12,Tabeller!H4:M7,6)</f>
        <v>5000</v>
      </c>
      <c r="N34" s="187" t="s">
        <v>163</v>
      </c>
      <c r="O34" s="133">
        <v>0</v>
      </c>
      <c r="P34" s="125" t="s">
        <v>163</v>
      </c>
      <c r="Q34" s="133">
        <v>0</v>
      </c>
      <c r="R34" s="125" t="s">
        <v>163</v>
      </c>
      <c r="S34" s="125">
        <f>O34+Q34</f>
        <v>0</v>
      </c>
      <c r="T34" s="125" t="s">
        <v>163</v>
      </c>
      <c r="U34" s="118">
        <f>IF(S34&gt;M34,"Fejl",S34/M34)</f>
        <v>0</v>
      </c>
      <c r="V34" s="14">
        <f>IF(S34&gt;0,VLOOKUP(AR12,Tabeller!H4:M7,4)/S34,0)</f>
        <v>0</v>
      </c>
      <c r="W34" s="12" t="s">
        <v>159</v>
      </c>
      <c r="X34" s="125">
        <f>O34*V34</f>
        <v>0</v>
      </c>
      <c r="Y34" s="12" t="s">
        <v>159</v>
      </c>
      <c r="Z34" s="115"/>
    </row>
    <row r="35" spans="1:26" x14ac:dyDescent="0.25">
      <c r="K35" s="114"/>
      <c r="L35" s="12"/>
      <c r="M35" s="12"/>
      <c r="N35" s="104"/>
      <c r="O35" s="125"/>
      <c r="P35" s="125"/>
      <c r="Q35" s="125"/>
      <c r="R35" s="125"/>
      <c r="S35" s="125"/>
      <c r="T35" s="125"/>
      <c r="U35" s="118"/>
      <c r="V35" s="14" t="str">
        <f>IF(M35&gt;0,VLOOKUP(#REF!,Tabeller!L22:Q25,4)/S35,"")</f>
        <v/>
      </c>
      <c r="W35" s="12"/>
      <c r="X35" s="125"/>
      <c r="Y35" s="12"/>
      <c r="Z35" s="115"/>
    </row>
    <row r="36" spans="1:26" ht="17.25" x14ac:dyDescent="0.25">
      <c r="A36" s="5" t="str">
        <f>Straw!A42</f>
        <v>Facility loading</v>
      </c>
      <c r="K36" s="114"/>
      <c r="L36" s="12"/>
      <c r="M36" s="12">
        <f>VLOOKUP(AR13,Tabeller!H4:M7,6)</f>
        <v>5000</v>
      </c>
      <c r="N36" s="104" t="s">
        <v>163</v>
      </c>
      <c r="O36" s="133">
        <v>0</v>
      </c>
      <c r="P36" s="125" t="s">
        <v>163</v>
      </c>
      <c r="Q36" s="133">
        <v>0</v>
      </c>
      <c r="R36" s="125" t="s">
        <v>163</v>
      </c>
      <c r="S36" s="125">
        <f>O36+Q36</f>
        <v>0</v>
      </c>
      <c r="T36" s="125" t="s">
        <v>163</v>
      </c>
      <c r="U36" s="118">
        <f>IF(S36&gt;M36,"Fejl",S36/M36)</f>
        <v>0</v>
      </c>
      <c r="V36" s="14">
        <f>IF(S36&gt;0,VLOOKUP(AR12,Tabeller!H4:M7,4)/S36,0)</f>
        <v>0</v>
      </c>
      <c r="W36" s="12" t="s">
        <v>159</v>
      </c>
      <c r="X36" s="125">
        <f>O36*V36</f>
        <v>0</v>
      </c>
      <c r="Y36" s="12" t="s">
        <v>159</v>
      </c>
      <c r="Z36" s="115"/>
    </row>
    <row r="37" spans="1:26" x14ac:dyDescent="0.25">
      <c r="K37" s="114"/>
      <c r="L37" s="12"/>
      <c r="M37" s="12"/>
      <c r="N37" s="104"/>
      <c r="O37" s="12"/>
      <c r="P37" s="12"/>
      <c r="Q37" s="12"/>
      <c r="R37" s="12"/>
      <c r="S37" s="12"/>
      <c r="T37" s="12"/>
      <c r="U37" s="126">
        <f>SUM(U30+U32+U34+U36)</f>
        <v>0.88660000000000005</v>
      </c>
      <c r="V37" s="12"/>
      <c r="W37" s="12"/>
      <c r="X37" s="125"/>
      <c r="Y37" s="12"/>
      <c r="Z37" s="115"/>
    </row>
    <row r="38" spans="1:26" ht="18" thickBot="1" x14ac:dyDescent="0.3">
      <c r="A38" s="4" t="str">
        <f>VLOOKUP(AR5,Tabeller!H9:K10,2)</f>
        <v>Tractor &amp; Frontloader</v>
      </c>
      <c r="C38" s="236">
        <f>VLOOKUP(AR5,Tabeller!H9:J10,3)</f>
        <v>-650</v>
      </c>
      <c r="D38" s="239" t="s">
        <v>169</v>
      </c>
      <c r="K38" s="114"/>
      <c r="L38" s="75" t="s">
        <v>437</v>
      </c>
      <c r="M38" s="75"/>
      <c r="N38" s="192"/>
      <c r="O38" s="75">
        <f>O30+O32+O34+O36</f>
        <v>433</v>
      </c>
      <c r="P38" s="76" t="s">
        <v>163</v>
      </c>
      <c r="Q38" s="12"/>
      <c r="R38" s="12"/>
      <c r="S38" s="12"/>
      <c r="T38" s="12"/>
      <c r="U38" s="12"/>
      <c r="V38" s="75" t="s">
        <v>460</v>
      </c>
      <c r="W38" s="75"/>
      <c r="X38" s="91">
        <f>IF(U37="#VÆRDI!","Fejl",SUM(X30+X32+X34+X36))</f>
        <v>-12977.963357623326</v>
      </c>
      <c r="Y38" s="75" t="s">
        <v>159</v>
      </c>
      <c r="Z38" s="115"/>
    </row>
    <row r="39" spans="1:26" x14ac:dyDescent="0.25">
      <c r="A39" s="4" t="str">
        <f>VLOOKUP(AR5,Tabeller!H9:M10,5)</f>
        <v>Loading speed</v>
      </c>
      <c r="C39" s="240">
        <f>VLOOKUP(AR5,Tabeller!H9:M10,6)</f>
        <v>0.60606060606060597</v>
      </c>
      <c r="D39" s="194" t="s">
        <v>161</v>
      </c>
      <c r="K39" s="121"/>
      <c r="L39" s="13"/>
      <c r="M39" s="13"/>
      <c r="N39" s="193"/>
      <c r="O39" s="13"/>
      <c r="P39" s="13"/>
      <c r="Q39" s="13"/>
      <c r="R39" s="13"/>
      <c r="S39" s="13"/>
      <c r="T39" s="13"/>
      <c r="U39" s="13"/>
      <c r="V39" s="13"/>
      <c r="W39" s="13"/>
      <c r="X39" s="13"/>
      <c r="Y39" s="13"/>
      <c r="Z39" s="123"/>
    </row>
  </sheetData>
  <mergeCells count="20">
    <mergeCell ref="M8:N8"/>
    <mergeCell ref="X29:Y29"/>
    <mergeCell ref="O8:P8"/>
    <mergeCell ref="Q8:R8"/>
    <mergeCell ref="M16:N16"/>
    <mergeCell ref="O16:P16"/>
    <mergeCell ref="Q16:R16"/>
    <mergeCell ref="M29:N29"/>
    <mergeCell ref="O29:P29"/>
    <mergeCell ref="Q29:R29"/>
    <mergeCell ref="S29:T29"/>
    <mergeCell ref="V29:W29"/>
    <mergeCell ref="G14:H14"/>
    <mergeCell ref="S16:T16"/>
    <mergeCell ref="V16:W16"/>
    <mergeCell ref="X16:Y16"/>
    <mergeCell ref="G9:H9"/>
    <mergeCell ref="G10:H10"/>
    <mergeCell ref="G12:H12"/>
    <mergeCell ref="G13:H1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2" r:id="rId4" name="Drop Down 2">
              <controlPr defaultSize="0" autoLine="0" autoPict="0">
                <anchor moveWithCells="1">
                  <from>
                    <xdr:col>0</xdr:col>
                    <xdr:colOff>9525</xdr:colOff>
                    <xdr:row>23</xdr:row>
                    <xdr:rowOff>9525</xdr:rowOff>
                  </from>
                  <to>
                    <xdr:col>0</xdr:col>
                    <xdr:colOff>1847850</xdr:colOff>
                    <xdr:row>24</xdr:row>
                    <xdr:rowOff>19050</xdr:rowOff>
                  </to>
                </anchor>
              </controlPr>
            </control>
          </mc:Choice>
        </mc:AlternateContent>
        <mc:AlternateContent xmlns:mc="http://schemas.openxmlformats.org/markup-compatibility/2006">
          <mc:Choice Requires="x14">
            <control shapeId="81923" r:id="rId5" name="Drop Down 3">
              <controlPr defaultSize="0" autoLine="0" autoPict="0">
                <anchor moveWithCells="1">
                  <from>
                    <xdr:col>0</xdr:col>
                    <xdr:colOff>9525</xdr:colOff>
                    <xdr:row>28</xdr:row>
                    <xdr:rowOff>9525</xdr:rowOff>
                  </from>
                  <to>
                    <xdr:col>0</xdr:col>
                    <xdr:colOff>1847850</xdr:colOff>
                    <xdr:row>28</xdr:row>
                    <xdr:rowOff>209550</xdr:rowOff>
                  </to>
                </anchor>
              </controlPr>
            </control>
          </mc:Choice>
        </mc:AlternateContent>
        <mc:AlternateContent xmlns:mc="http://schemas.openxmlformats.org/markup-compatibility/2006">
          <mc:Choice Requires="x14">
            <control shapeId="81926" r:id="rId6" name="Drop Down 6">
              <controlPr defaultSize="0" autoLine="0" autoPict="0">
                <anchor moveWithCells="1">
                  <from>
                    <xdr:col>5</xdr:col>
                    <xdr:colOff>19050</xdr:colOff>
                    <xdr:row>3</xdr:row>
                    <xdr:rowOff>19050</xdr:rowOff>
                  </from>
                  <to>
                    <xdr:col>5</xdr:col>
                    <xdr:colOff>1857375</xdr:colOff>
                    <xdr:row>4</xdr:row>
                    <xdr:rowOff>28575</xdr:rowOff>
                  </to>
                </anchor>
              </controlPr>
            </control>
          </mc:Choice>
        </mc:AlternateContent>
        <mc:AlternateContent xmlns:mc="http://schemas.openxmlformats.org/markup-compatibility/2006">
          <mc:Choice Requires="x14">
            <control shapeId="81942" r:id="rId7" name="Drop Down 22">
              <controlPr defaultSize="0" autoLine="0" autoPict="0">
                <anchor moveWithCells="1">
                  <from>
                    <xdr:col>0</xdr:col>
                    <xdr:colOff>9525</xdr:colOff>
                    <xdr:row>36</xdr:row>
                    <xdr:rowOff>9525</xdr:rowOff>
                  </from>
                  <to>
                    <xdr:col>0</xdr:col>
                    <xdr:colOff>1847850</xdr:colOff>
                    <xdr:row>37</xdr:row>
                    <xdr:rowOff>19050</xdr:rowOff>
                  </to>
                </anchor>
              </controlPr>
            </control>
          </mc:Choice>
        </mc:AlternateContent>
        <mc:AlternateContent xmlns:mc="http://schemas.openxmlformats.org/markup-compatibility/2006">
          <mc:Choice Requires="x14">
            <control shapeId="81950" r:id="rId8" name="Button 30">
              <controlPr defaultSize="0" print="0" autoFill="0" autoPict="0" macro="[0]!GåTilRapsResultat">
                <anchor moveWithCells="1" sizeWithCells="1">
                  <from>
                    <xdr:col>5</xdr:col>
                    <xdr:colOff>1028700</xdr:colOff>
                    <xdr:row>34</xdr:row>
                    <xdr:rowOff>9525</xdr:rowOff>
                  </from>
                  <to>
                    <xdr:col>7</xdr:col>
                    <xdr:colOff>171450</xdr:colOff>
                    <xdr:row>36</xdr:row>
                    <xdr:rowOff>47625</xdr:rowOff>
                  </to>
                </anchor>
              </controlPr>
            </control>
          </mc:Choice>
        </mc:AlternateContent>
        <mc:AlternateContent xmlns:mc="http://schemas.openxmlformats.org/markup-compatibility/2006">
          <mc:Choice Requires="x14">
            <control shapeId="81951" r:id="rId9" name="Button 31">
              <controlPr defaultSize="0" print="0" autoFill="0" autoPict="0" macro="[0]!TilbageTilHovedmenuFraHalm">
                <anchor moveWithCells="1" sizeWithCells="1">
                  <from>
                    <xdr:col>5</xdr:col>
                    <xdr:colOff>1066800</xdr:colOff>
                    <xdr:row>31</xdr:row>
                    <xdr:rowOff>28575</xdr:rowOff>
                  </from>
                  <to>
                    <xdr:col>7</xdr:col>
                    <xdr:colOff>123825</xdr:colOff>
                    <xdr:row>33</xdr:row>
                    <xdr:rowOff>76200</xdr:rowOff>
                  </to>
                </anchor>
              </controlPr>
            </control>
          </mc:Choice>
        </mc:AlternateContent>
        <mc:AlternateContent xmlns:mc="http://schemas.openxmlformats.org/markup-compatibility/2006">
          <mc:Choice Requires="x14">
            <control shapeId="81952" r:id="rId10" name="Drop Down 32">
              <controlPr defaultSize="0" autoLine="0" autoPict="0">
                <anchor moveWithCells="1">
                  <from>
                    <xdr:col>11</xdr:col>
                    <xdr:colOff>0</xdr:colOff>
                    <xdr:row>16</xdr:row>
                    <xdr:rowOff>0</xdr:rowOff>
                  </from>
                  <to>
                    <xdr:col>12</xdr:col>
                    <xdr:colOff>200025</xdr:colOff>
                    <xdr:row>17</xdr:row>
                    <xdr:rowOff>0</xdr:rowOff>
                  </to>
                </anchor>
              </controlPr>
            </control>
          </mc:Choice>
        </mc:AlternateContent>
        <mc:AlternateContent xmlns:mc="http://schemas.openxmlformats.org/markup-compatibility/2006">
          <mc:Choice Requires="x14">
            <control shapeId="81953" r:id="rId11" name="Drop Down 33">
              <controlPr defaultSize="0" autoLine="0" autoPict="0">
                <anchor moveWithCells="1">
                  <from>
                    <xdr:col>11</xdr:col>
                    <xdr:colOff>0</xdr:colOff>
                    <xdr:row>18</xdr:row>
                    <xdr:rowOff>0</xdr:rowOff>
                  </from>
                  <to>
                    <xdr:col>12</xdr:col>
                    <xdr:colOff>200025</xdr:colOff>
                    <xdr:row>19</xdr:row>
                    <xdr:rowOff>0</xdr:rowOff>
                  </to>
                </anchor>
              </controlPr>
            </control>
          </mc:Choice>
        </mc:AlternateContent>
        <mc:AlternateContent xmlns:mc="http://schemas.openxmlformats.org/markup-compatibility/2006">
          <mc:Choice Requires="x14">
            <control shapeId="81954" r:id="rId12" name="Drop Down 34">
              <controlPr defaultSize="0" autoLine="0" autoPict="0">
                <anchor moveWithCells="1">
                  <from>
                    <xdr:col>11</xdr:col>
                    <xdr:colOff>0</xdr:colOff>
                    <xdr:row>20</xdr:row>
                    <xdr:rowOff>0</xdr:rowOff>
                  </from>
                  <to>
                    <xdr:col>12</xdr:col>
                    <xdr:colOff>200025</xdr:colOff>
                    <xdr:row>21</xdr:row>
                    <xdr:rowOff>0</xdr:rowOff>
                  </to>
                </anchor>
              </controlPr>
            </control>
          </mc:Choice>
        </mc:AlternateContent>
        <mc:AlternateContent xmlns:mc="http://schemas.openxmlformats.org/markup-compatibility/2006">
          <mc:Choice Requires="x14">
            <control shapeId="81955" r:id="rId13" name="Drop Down 35">
              <controlPr defaultSize="0" autoLine="0" autoPict="0">
                <anchor moveWithCells="1">
                  <from>
                    <xdr:col>11</xdr:col>
                    <xdr:colOff>9525</xdr:colOff>
                    <xdr:row>22</xdr:row>
                    <xdr:rowOff>0</xdr:rowOff>
                  </from>
                  <to>
                    <xdr:col>12</xdr:col>
                    <xdr:colOff>200025</xdr:colOff>
                    <xdr:row>22</xdr:row>
                    <xdr:rowOff>180975</xdr:rowOff>
                  </to>
                </anchor>
              </controlPr>
            </control>
          </mc:Choice>
        </mc:AlternateContent>
        <mc:AlternateContent xmlns:mc="http://schemas.openxmlformats.org/markup-compatibility/2006">
          <mc:Choice Requires="x14">
            <control shapeId="81956" r:id="rId14" name="Drop Down 36">
              <controlPr defaultSize="0" autoLine="0" autoPict="0">
                <anchor moveWithCells="1">
                  <from>
                    <xdr:col>11</xdr:col>
                    <xdr:colOff>9525</xdr:colOff>
                    <xdr:row>29</xdr:row>
                    <xdr:rowOff>47625</xdr:rowOff>
                  </from>
                  <to>
                    <xdr:col>12</xdr:col>
                    <xdr:colOff>200025</xdr:colOff>
                    <xdr:row>30</xdr:row>
                    <xdr:rowOff>28575</xdr:rowOff>
                  </to>
                </anchor>
              </controlPr>
            </control>
          </mc:Choice>
        </mc:AlternateContent>
        <mc:AlternateContent xmlns:mc="http://schemas.openxmlformats.org/markup-compatibility/2006">
          <mc:Choice Requires="x14">
            <control shapeId="81957" r:id="rId15" name="Drop Down 37">
              <controlPr defaultSize="0" autoLine="0" autoPict="0">
                <anchor moveWithCells="1">
                  <from>
                    <xdr:col>11</xdr:col>
                    <xdr:colOff>9525</xdr:colOff>
                    <xdr:row>31</xdr:row>
                    <xdr:rowOff>19050</xdr:rowOff>
                  </from>
                  <to>
                    <xdr:col>12</xdr:col>
                    <xdr:colOff>200025</xdr:colOff>
                    <xdr:row>32</xdr:row>
                    <xdr:rowOff>0</xdr:rowOff>
                  </to>
                </anchor>
              </controlPr>
            </control>
          </mc:Choice>
        </mc:AlternateContent>
        <mc:AlternateContent xmlns:mc="http://schemas.openxmlformats.org/markup-compatibility/2006">
          <mc:Choice Requires="x14">
            <control shapeId="81958" r:id="rId16" name="Drop Down 38">
              <controlPr defaultSize="0" autoLine="0" autoPict="0">
                <anchor moveWithCells="1">
                  <from>
                    <xdr:col>11</xdr:col>
                    <xdr:colOff>0</xdr:colOff>
                    <xdr:row>33</xdr:row>
                    <xdr:rowOff>28575</xdr:rowOff>
                  </from>
                  <to>
                    <xdr:col>12</xdr:col>
                    <xdr:colOff>200025</xdr:colOff>
                    <xdr:row>34</xdr:row>
                    <xdr:rowOff>9525</xdr:rowOff>
                  </to>
                </anchor>
              </controlPr>
            </control>
          </mc:Choice>
        </mc:AlternateContent>
        <mc:AlternateContent xmlns:mc="http://schemas.openxmlformats.org/markup-compatibility/2006">
          <mc:Choice Requires="x14">
            <control shapeId="81959" r:id="rId17" name="Drop Down 39">
              <controlPr defaultSize="0" autoLine="0" autoPict="0">
                <anchor moveWithCells="1">
                  <from>
                    <xdr:col>11</xdr:col>
                    <xdr:colOff>28575</xdr:colOff>
                    <xdr:row>35</xdr:row>
                    <xdr:rowOff>19050</xdr:rowOff>
                  </from>
                  <to>
                    <xdr:col>12</xdr:col>
                    <xdr:colOff>200025</xdr:colOff>
                    <xdr:row>36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Fejl" id="{6B2CFBDD-9E48-4EAC-BD5A-C44825D7DDDF}">
            <xm:f>NOT(ISERROR(SEARCH("Fejl",Straw!U17)))</xm:f>
            <x14:dxf>
              <font>
                <b/>
                <i val="0"/>
              </font>
              <border>
                <left style="thin">
                  <color rgb="FF9C0006"/>
                </left>
                <right style="thin">
                  <color rgb="FF9C0006"/>
                </right>
                <top style="thin">
                  <color rgb="FF9C0006"/>
                </top>
                <bottom style="thin">
                  <color rgb="FF9C0006"/>
                </bottom>
                <vertical/>
                <horizontal/>
              </border>
            </x14:dxf>
          </x14:cfRule>
          <xm:sqref>U17:U23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tabColor theme="5" tint="0.59999389629810485"/>
  </sheetPr>
  <dimension ref="A1:AG45"/>
  <sheetViews>
    <sheetView workbookViewId="0">
      <selection activeCell="I22" sqref="I22"/>
    </sheetView>
  </sheetViews>
  <sheetFormatPr defaultRowHeight="15" x14ac:dyDescent="0.25"/>
  <cols>
    <col min="1" max="1" width="28.7109375" style="4" customWidth="1"/>
    <col min="2" max="2" width="13" style="4" customWidth="1"/>
    <col min="3" max="3" width="7.7109375" style="4" customWidth="1"/>
    <col min="4" max="4" width="9.85546875" style="4" bestFit="1" customWidth="1"/>
    <col min="5" max="5" width="13" style="4" customWidth="1"/>
    <col min="6" max="6" width="35.5703125" style="4" customWidth="1"/>
    <col min="7" max="7" width="9.7109375" style="4" customWidth="1"/>
    <col min="8" max="8" width="5.140625" style="4" customWidth="1"/>
    <col min="9" max="9" width="6.85546875" style="33" customWidth="1"/>
    <col min="10" max="10" width="9.140625" style="4"/>
    <col min="11" max="11" width="27.28515625" style="4" customWidth="1"/>
    <col min="12" max="12" width="10.85546875" style="4" customWidth="1"/>
    <col min="13" max="13" width="6.5703125" style="4" customWidth="1"/>
    <col min="14" max="14" width="6.85546875" style="33" customWidth="1"/>
    <col min="15" max="15" width="9.140625" style="4"/>
    <col min="16" max="17" width="0" style="4" hidden="1" customWidth="1"/>
    <col min="18" max="18" width="13.7109375" style="4" hidden="1" customWidth="1"/>
    <col min="19" max="32" width="0" style="4" hidden="1" customWidth="1"/>
    <col min="33" max="16384" width="9.140625" style="4"/>
  </cols>
  <sheetData>
    <row r="1" spans="1:33" ht="21" x14ac:dyDescent="0.35">
      <c r="A1" s="3" t="s">
        <v>439</v>
      </c>
    </row>
    <row r="3" spans="1:33" x14ac:dyDescent="0.25">
      <c r="A3" s="5" t="str">
        <f>Straw!A3</f>
        <v>Yield</v>
      </c>
      <c r="D3" s="33"/>
      <c r="F3" s="5" t="s">
        <v>488</v>
      </c>
      <c r="K3" s="5" t="s">
        <v>443</v>
      </c>
      <c r="AG3" s="4">
        <v>1</v>
      </c>
    </row>
    <row r="4" spans="1:33" x14ac:dyDescent="0.25">
      <c r="A4" s="7" t="str">
        <f>Straw!A4</f>
        <v>Yield</v>
      </c>
      <c r="C4" s="77">
        <f>C5*C6</f>
        <v>69.599999999999994</v>
      </c>
      <c r="D4" s="96" t="s">
        <v>127</v>
      </c>
      <c r="F4" s="7" t="s">
        <v>387</v>
      </c>
      <c r="G4" s="58">
        <f>UdbytVaadEng/Rundballevægt</f>
        <v>248.57142857142853</v>
      </c>
      <c r="H4" s="4" t="s">
        <v>489</v>
      </c>
      <c r="AG4" s="4" t="b">
        <v>1</v>
      </c>
    </row>
    <row r="5" spans="1:33" x14ac:dyDescent="0.25">
      <c r="A5" s="7" t="str">
        <f>Straw!A5</f>
        <v>Cultivated area</v>
      </c>
      <c r="C5" s="323">
        <v>12</v>
      </c>
      <c r="D5" s="94" t="s">
        <v>165</v>
      </c>
      <c r="F5" s="7"/>
      <c r="AG5" s="4">
        <v>1</v>
      </c>
    </row>
    <row r="6" spans="1:33" x14ac:dyDescent="0.25">
      <c r="A6" s="7" t="str">
        <f>Straw!A6</f>
        <v>Yield per hectare</v>
      </c>
      <c r="C6" s="324">
        <v>5.8</v>
      </c>
      <c r="D6" s="95" t="s">
        <v>166</v>
      </c>
      <c r="F6" s="7"/>
      <c r="K6" s="4" t="s">
        <v>365</v>
      </c>
      <c r="L6" s="464">
        <f>IF($AG$4=TRUE,Ex_kap,"")</f>
        <v>10000</v>
      </c>
      <c r="M6" s="464"/>
      <c r="N6" s="321" t="s">
        <v>446</v>
      </c>
      <c r="AG6" s="4">
        <v>1</v>
      </c>
    </row>
    <row r="7" spans="1:33" x14ac:dyDescent="0.25">
      <c r="A7" s="7" t="str">
        <f>Straw!A7</f>
        <v>Dry matter</v>
      </c>
      <c r="C7" s="329">
        <v>80</v>
      </c>
      <c r="D7" s="330" t="s">
        <v>187</v>
      </c>
      <c r="F7" s="5"/>
      <c r="I7" s="4"/>
      <c r="AG7" s="406">
        <v>3</v>
      </c>
    </row>
    <row r="8" spans="1:33" x14ac:dyDescent="0.25">
      <c r="A8" s="7" t="str">
        <f>Straw!A8</f>
        <v>Organic matter - VS/total</v>
      </c>
      <c r="C8" s="329">
        <v>75</v>
      </c>
      <c r="D8" s="330" t="s">
        <v>187</v>
      </c>
      <c r="I8" s="247"/>
      <c r="K8" s="4" t="s">
        <v>484</v>
      </c>
      <c r="M8" s="28">
        <f>IF(AG4=TRUE,UdbytVaadEng/Ex_kap*100,"")</f>
        <v>0.69599999999999995</v>
      </c>
      <c r="N8" s="326" t="s">
        <v>187</v>
      </c>
    </row>
    <row r="9" spans="1:33" x14ac:dyDescent="0.25">
      <c r="A9" s="4" t="s">
        <v>462</v>
      </c>
      <c r="C9" s="329">
        <f>Normer!N29</f>
        <v>0.28000000000000003</v>
      </c>
      <c r="D9" s="330" t="s">
        <v>463</v>
      </c>
      <c r="F9" s="411" t="str">
        <f>IF(C7&lt;80,"Storage without cover is only recommeded if TS&gt;80%","TS&gt; 80%: Open storage is an option")</f>
        <v>TS&gt; 80%: Open storage is an option</v>
      </c>
      <c r="I9" s="247"/>
      <c r="K9" s="4" t="s">
        <v>485</v>
      </c>
      <c r="M9" s="405">
        <v>48</v>
      </c>
      <c r="N9" s="104" t="s">
        <v>187</v>
      </c>
      <c r="O9" s="12"/>
    </row>
    <row r="10" spans="1:33" x14ac:dyDescent="0.25">
      <c r="D10" s="98"/>
      <c r="F10" s="4" t="s">
        <v>483</v>
      </c>
      <c r="G10" s="4">
        <f>IF(AG7=1,Tabeller!C11,IF(AG7=2,Tabeller!C12,0))</f>
        <v>0</v>
      </c>
      <c r="H10" s="247" t="s">
        <v>168</v>
      </c>
    </row>
    <row r="11" spans="1:33" x14ac:dyDescent="0.25">
      <c r="A11" s="5" t="s">
        <v>464</v>
      </c>
      <c r="D11" s="98"/>
      <c r="H11" s="247"/>
      <c r="K11" s="4" t="s">
        <v>377</v>
      </c>
      <c r="L11" s="463">
        <f>IF($AG$4=TRUE,Ex_pris,"")</f>
        <v>-5500000</v>
      </c>
      <c r="M11" s="463"/>
      <c r="N11" s="320" t="s">
        <v>159</v>
      </c>
    </row>
    <row r="12" spans="1:33" ht="18" x14ac:dyDescent="0.35">
      <c r="A12" s="50" t="s">
        <v>466</v>
      </c>
      <c r="C12" s="88">
        <f>Normer!Y17</f>
        <v>234</v>
      </c>
      <c r="D12" s="99" t="s">
        <v>173</v>
      </c>
      <c r="I12" s="247"/>
      <c r="K12" s="4" t="s">
        <v>378</v>
      </c>
      <c r="M12" s="254">
        <f>IF($AG$4=TRUE,Ex_driftogVedlige,"")</f>
        <v>-98.8</v>
      </c>
      <c r="N12" s="321" t="s">
        <v>168</v>
      </c>
    </row>
    <row r="13" spans="1:33" ht="18" x14ac:dyDescent="0.35">
      <c r="A13" s="50" t="s">
        <v>465</v>
      </c>
      <c r="C13" s="88">
        <f>Normer!Y18</f>
        <v>254</v>
      </c>
      <c r="D13" s="99" t="s">
        <v>173</v>
      </c>
      <c r="F13" s="318"/>
      <c r="I13" s="247"/>
      <c r="K13" s="4" t="s">
        <v>486</v>
      </c>
      <c r="L13" s="465">
        <f>IF($AG$4=TRUE,EX_forsik,"")</f>
        <v>-50000</v>
      </c>
      <c r="M13" s="465"/>
      <c r="N13" s="321" t="s">
        <v>497</v>
      </c>
    </row>
    <row r="14" spans="1:33" x14ac:dyDescent="0.25">
      <c r="A14" s="50"/>
      <c r="C14" s="88"/>
      <c r="D14" s="99"/>
      <c r="H14" s="247"/>
      <c r="I14" s="247"/>
      <c r="K14" s="4" t="s">
        <v>487</v>
      </c>
      <c r="M14" s="254">
        <f>IF($AG$4=TRUE,10,"")</f>
        <v>10</v>
      </c>
      <c r="N14" s="322" t="s">
        <v>447</v>
      </c>
    </row>
    <row r="15" spans="1:33" x14ac:dyDescent="0.25">
      <c r="D15" s="98"/>
      <c r="H15" s="247"/>
      <c r="K15" s="4" t="s">
        <v>449</v>
      </c>
      <c r="L15" s="464">
        <f>IF($AG$4=TRUE,Ex_Ydelse,"")</f>
        <v>-729672.72786868934</v>
      </c>
      <c r="M15" s="464"/>
      <c r="N15" s="321" t="s">
        <v>497</v>
      </c>
    </row>
    <row r="16" spans="1:33" x14ac:dyDescent="0.25">
      <c r="A16" s="5" t="s">
        <v>467</v>
      </c>
      <c r="D16" s="100"/>
      <c r="H16" s="247"/>
      <c r="M16" s="254"/>
      <c r="N16" s="321"/>
    </row>
    <row r="17" spans="1:18" x14ac:dyDescent="0.25">
      <c r="A17" s="49" t="s">
        <v>468</v>
      </c>
      <c r="D17" s="100"/>
    </row>
    <row r="18" spans="1:18" x14ac:dyDescent="0.25">
      <c r="A18" s="7" t="s">
        <v>469</v>
      </c>
      <c r="D18" s="100"/>
      <c r="F18" s="49"/>
    </row>
    <row r="19" spans="1:18" x14ac:dyDescent="0.25">
      <c r="A19" s="7"/>
      <c r="D19" s="100"/>
      <c r="H19" s="252"/>
    </row>
    <row r="20" spans="1:18" x14ac:dyDescent="0.25">
      <c r="A20" s="7"/>
      <c r="D20" s="100"/>
      <c r="H20" s="247"/>
    </row>
    <row r="21" spans="1:18" x14ac:dyDescent="0.25">
      <c r="A21" s="4" t="s">
        <v>490</v>
      </c>
      <c r="D21" s="100"/>
      <c r="H21" s="247"/>
    </row>
    <row r="22" spans="1:18" x14ac:dyDescent="0.25">
      <c r="A22" s="4" t="str">
        <f>IF(AG3=1,Tabeller!C7,Tabeller!C8)</f>
        <v>Tractor</v>
      </c>
      <c r="C22" s="247">
        <f>IF(AG3=1,Tabeller!D7,Tabeller!D8)</f>
        <v>-2067</v>
      </c>
      <c r="D22" s="247" t="s">
        <v>189</v>
      </c>
      <c r="H22" s="247"/>
    </row>
    <row r="23" spans="1:18" x14ac:dyDescent="0.25">
      <c r="A23" s="7"/>
      <c r="C23" s="247"/>
      <c r="D23" s="247"/>
      <c r="H23" s="247"/>
      <c r="R23" s="27">
        <f>PMT(0.05,10,1000000)</f>
        <v>-129504.57496545668</v>
      </c>
    </row>
    <row r="24" spans="1:18" x14ac:dyDescent="0.25">
      <c r="D24" s="100"/>
      <c r="H24" s="247"/>
    </row>
    <row r="25" spans="1:18" x14ac:dyDescent="0.25">
      <c r="A25" s="5" t="s">
        <v>491</v>
      </c>
      <c r="D25" s="33"/>
      <c r="H25" s="247"/>
    </row>
    <row r="26" spans="1:18" x14ac:dyDescent="0.25">
      <c r="A26" s="4" t="s">
        <v>492</v>
      </c>
      <c r="D26" s="33"/>
      <c r="F26" s="4" t="s">
        <v>299</v>
      </c>
      <c r="H26" s="246"/>
      <c r="I26" s="249"/>
    </row>
    <row r="27" spans="1:18" x14ac:dyDescent="0.25">
      <c r="A27" s="4" t="s">
        <v>493</v>
      </c>
      <c r="D27" s="255"/>
      <c r="H27" s="247"/>
      <c r="I27" s="249"/>
    </row>
    <row r="28" spans="1:18" x14ac:dyDescent="0.25">
      <c r="D28" s="255"/>
      <c r="H28" s="244"/>
      <c r="I28" s="249"/>
    </row>
    <row r="29" spans="1:18" x14ac:dyDescent="0.25">
      <c r="A29" s="7" t="s">
        <v>494</v>
      </c>
      <c r="C29" s="317">
        <v>5</v>
      </c>
      <c r="D29" s="255" t="s">
        <v>111</v>
      </c>
      <c r="I29" s="249"/>
    </row>
    <row r="30" spans="1:18" x14ac:dyDescent="0.25">
      <c r="A30" s="4" t="str">
        <f>VLOOKUP(AG5,Tabeller!A17:E18,3)</f>
        <v>Lastbil med forvogn og anhænger</v>
      </c>
      <c r="C30" s="319">
        <f>VLOOKUP(AG5,Tabeller!A17:E18,4)</f>
        <v>-625</v>
      </c>
      <c r="D30" s="95" t="s">
        <v>432</v>
      </c>
      <c r="I30" s="249"/>
    </row>
    <row r="31" spans="1:18" x14ac:dyDescent="0.25">
      <c r="A31" s="7" t="s">
        <v>440</v>
      </c>
      <c r="C31" s="319">
        <f>IF(AG5=1,Normer!D19,Normer!D8)</f>
        <v>44</v>
      </c>
      <c r="D31" s="95" t="s">
        <v>495</v>
      </c>
      <c r="I31" s="256"/>
    </row>
    <row r="32" spans="1:18" x14ac:dyDescent="0.25">
      <c r="A32" s="7" t="s">
        <v>441</v>
      </c>
      <c r="C32" s="396">
        <f>VLOOKUP(AG5,Tabeller!A17:E18,5)</f>
        <v>12.32</v>
      </c>
      <c r="D32" s="255" t="s">
        <v>127</v>
      </c>
      <c r="I32" s="256"/>
    </row>
    <row r="33" spans="1:9" x14ac:dyDescent="0.25">
      <c r="A33" s="7" t="s">
        <v>373</v>
      </c>
      <c r="C33" s="396">
        <f>VLOOKUP(AG5,Tabeller!A17:F18,6)</f>
        <v>51.5</v>
      </c>
      <c r="D33" s="255" t="s">
        <v>435</v>
      </c>
      <c r="I33" s="249"/>
    </row>
    <row r="34" spans="1:9" x14ac:dyDescent="0.25">
      <c r="C34" s="253"/>
      <c r="E34" s="33"/>
      <c r="I34" s="249"/>
    </row>
    <row r="35" spans="1:9" x14ac:dyDescent="0.25">
      <c r="A35" s="4" t="s">
        <v>496</v>
      </c>
      <c r="C35" s="251"/>
      <c r="D35" s="255"/>
      <c r="E35" s="33"/>
      <c r="I35" s="257"/>
    </row>
    <row r="36" spans="1:9" x14ac:dyDescent="0.25">
      <c r="C36" s="253"/>
      <c r="D36" s="95"/>
      <c r="I36" s="4"/>
    </row>
    <row r="37" spans="1:9" x14ac:dyDescent="0.25">
      <c r="C37" s="253"/>
      <c r="D37" s="95"/>
      <c r="I37" s="4"/>
    </row>
    <row r="38" spans="1:9" x14ac:dyDescent="0.25">
      <c r="A38" s="4" t="str">
        <f>IF(AG6=1,"Tractor &amp; frontloader",(IF(AG6=2,"Telescopic loader","No reload")))</f>
        <v>Tractor &amp; frontloader</v>
      </c>
      <c r="C38" s="253">
        <f>IF(AG6=1,Normer!I6,(IF(AG6=2,BrLæssetimepris,0)))</f>
        <v>-625</v>
      </c>
      <c r="D38" s="95" t="s">
        <v>169</v>
      </c>
    </row>
    <row r="39" spans="1:9" x14ac:dyDescent="0.25">
      <c r="A39" s="4" t="s">
        <v>411</v>
      </c>
      <c r="C39" s="397">
        <f>IF(AG6=1,Normer!H10,(IF(AG6=2,BrLæsseKap,0)))</f>
        <v>2.1264367816091956</v>
      </c>
      <c r="D39" s="194" t="s">
        <v>161</v>
      </c>
    </row>
    <row r="40" spans="1:9" x14ac:dyDescent="0.25">
      <c r="C40" s="253"/>
      <c r="D40" s="95"/>
    </row>
    <row r="41" spans="1:9" x14ac:dyDescent="0.25">
      <c r="A41" s="318"/>
      <c r="C41" s="253"/>
    </row>
    <row r="42" spans="1:9" x14ac:dyDescent="0.25">
      <c r="A42" s="7"/>
      <c r="B42" s="7"/>
      <c r="C42" s="253"/>
      <c r="D42" s="95"/>
    </row>
    <row r="43" spans="1:9" x14ac:dyDescent="0.25">
      <c r="A43" s="7"/>
      <c r="B43" s="7"/>
      <c r="C43" s="253"/>
      <c r="D43" s="95"/>
    </row>
    <row r="44" spans="1:9" x14ac:dyDescent="0.25">
      <c r="A44" s="7"/>
      <c r="B44" s="7"/>
      <c r="C44" s="253"/>
      <c r="D44" s="95"/>
    </row>
    <row r="45" spans="1:9" x14ac:dyDescent="0.25">
      <c r="A45" s="7"/>
      <c r="B45" s="7"/>
      <c r="C45" s="253"/>
      <c r="D45" s="95"/>
    </row>
  </sheetData>
  <mergeCells count="4">
    <mergeCell ref="L11:M11"/>
    <mergeCell ref="L15:M15"/>
    <mergeCell ref="L6:M6"/>
    <mergeCell ref="L13:M1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62" r:id="rId4" name="Button 2">
              <controlPr defaultSize="0" print="0" autoFill="0" autoPict="0" macro="[0]!GåTilEnggræsResultater">
                <anchor moveWithCells="1" sizeWithCells="1">
                  <from>
                    <xdr:col>9</xdr:col>
                    <xdr:colOff>590550</xdr:colOff>
                    <xdr:row>23</xdr:row>
                    <xdr:rowOff>0</xdr:rowOff>
                  </from>
                  <to>
                    <xdr:col>14</xdr:col>
                    <xdr:colOff>28575</xdr:colOff>
                    <xdr:row>24</xdr:row>
                    <xdr:rowOff>47625</xdr:rowOff>
                  </to>
                </anchor>
              </controlPr>
            </control>
          </mc:Choice>
        </mc:AlternateContent>
        <mc:AlternateContent xmlns:mc="http://schemas.openxmlformats.org/markup-compatibility/2006">
          <mc:Choice Requires="x14">
            <control shapeId="143363" r:id="rId5" name="Button 3">
              <controlPr defaultSize="0" print="0" autoFill="0" autoPict="0" macro="[0]!TilbageTilHovedmenu">
                <anchor moveWithCells="1" sizeWithCells="1">
                  <from>
                    <xdr:col>9</xdr:col>
                    <xdr:colOff>581025</xdr:colOff>
                    <xdr:row>24</xdr:row>
                    <xdr:rowOff>180975</xdr:rowOff>
                  </from>
                  <to>
                    <xdr:col>14</xdr:col>
                    <xdr:colOff>19050</xdr:colOff>
                    <xdr:row>27</xdr:row>
                    <xdr:rowOff>123825</xdr:rowOff>
                  </to>
                </anchor>
              </controlPr>
            </control>
          </mc:Choice>
        </mc:AlternateContent>
        <mc:AlternateContent xmlns:mc="http://schemas.openxmlformats.org/markup-compatibility/2006">
          <mc:Choice Requires="x14">
            <control shapeId="143364" r:id="rId6" name="Check Box 4">
              <controlPr defaultSize="0" autoFill="0" autoLine="0" autoPict="0" altText="Ekstrudering ønskes">
                <anchor moveWithCells="1">
                  <from>
                    <xdr:col>10</xdr:col>
                    <xdr:colOff>19050</xdr:colOff>
                    <xdr:row>3</xdr:row>
                    <xdr:rowOff>28575</xdr:rowOff>
                  </from>
                  <to>
                    <xdr:col>11</xdr:col>
                    <xdr:colOff>114300</xdr:colOff>
                    <xdr:row>4</xdr:row>
                    <xdr:rowOff>0</xdr:rowOff>
                  </to>
                </anchor>
              </controlPr>
            </control>
          </mc:Choice>
        </mc:AlternateContent>
        <mc:AlternateContent xmlns:mc="http://schemas.openxmlformats.org/markup-compatibility/2006">
          <mc:Choice Requires="x14">
            <control shapeId="143365" r:id="rId7" name="Drop Down 5">
              <controlPr defaultSize="0" autoLine="0" autoPict="0">
                <anchor moveWithCells="1">
                  <from>
                    <xdr:col>0</xdr:col>
                    <xdr:colOff>9525</xdr:colOff>
                    <xdr:row>26</xdr:row>
                    <xdr:rowOff>19050</xdr:rowOff>
                  </from>
                  <to>
                    <xdr:col>0</xdr:col>
                    <xdr:colOff>1333500</xdr:colOff>
                    <xdr:row>27</xdr:row>
                    <xdr:rowOff>9525</xdr:rowOff>
                  </to>
                </anchor>
              </controlPr>
            </control>
          </mc:Choice>
        </mc:AlternateContent>
        <mc:AlternateContent xmlns:mc="http://schemas.openxmlformats.org/markup-compatibility/2006">
          <mc:Choice Requires="x14">
            <control shapeId="143374" r:id="rId8" name="Drop Down 14">
              <controlPr defaultSize="0" autoLine="0" autoPict="0">
                <anchor moveWithCells="1">
                  <from>
                    <xdr:col>0</xdr:col>
                    <xdr:colOff>9525</xdr:colOff>
                    <xdr:row>18</xdr:row>
                    <xdr:rowOff>57150</xdr:rowOff>
                  </from>
                  <to>
                    <xdr:col>0</xdr:col>
                    <xdr:colOff>1152525</xdr:colOff>
                    <xdr:row>19</xdr:row>
                    <xdr:rowOff>66675</xdr:rowOff>
                  </to>
                </anchor>
              </controlPr>
            </control>
          </mc:Choice>
        </mc:AlternateContent>
        <mc:AlternateContent xmlns:mc="http://schemas.openxmlformats.org/markup-compatibility/2006">
          <mc:Choice Requires="x14">
            <control shapeId="143375" r:id="rId9" name="Drop Down 15">
              <controlPr defaultSize="0" autoLine="0" autoPict="0">
                <anchor moveWithCells="1">
                  <from>
                    <xdr:col>5</xdr:col>
                    <xdr:colOff>38100</xdr:colOff>
                    <xdr:row>6</xdr:row>
                    <xdr:rowOff>152400</xdr:rowOff>
                  </from>
                  <to>
                    <xdr:col>5</xdr:col>
                    <xdr:colOff>1419225</xdr:colOff>
                    <xdr:row>7</xdr:row>
                    <xdr:rowOff>171450</xdr:rowOff>
                  </to>
                </anchor>
              </controlPr>
            </control>
          </mc:Choice>
        </mc:AlternateContent>
        <mc:AlternateContent xmlns:mc="http://schemas.openxmlformats.org/markup-compatibility/2006">
          <mc:Choice Requires="x14">
            <control shapeId="143376" r:id="rId10" name="Drop Down 16">
              <controlPr defaultSize="0" autoLine="0" autoPict="0">
                <anchor moveWithCells="1">
                  <from>
                    <xdr:col>0</xdr:col>
                    <xdr:colOff>38100</xdr:colOff>
                    <xdr:row>35</xdr:row>
                    <xdr:rowOff>47625</xdr:rowOff>
                  </from>
                  <to>
                    <xdr:col>0</xdr:col>
                    <xdr:colOff>1876425</xdr:colOff>
                    <xdr:row>36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tabColor theme="6" tint="0.59999389629810485"/>
  </sheetPr>
  <dimension ref="A1:J65"/>
  <sheetViews>
    <sheetView workbookViewId="0">
      <selection activeCell="B24" sqref="B24"/>
    </sheetView>
  </sheetViews>
  <sheetFormatPr defaultRowHeight="15" x14ac:dyDescent="0.25"/>
  <cols>
    <col min="1" max="1" width="29" style="4" customWidth="1"/>
    <col min="2" max="2" width="19.42578125" style="4" customWidth="1"/>
    <col min="3" max="3" width="8.85546875" style="4" bestFit="1" customWidth="1"/>
    <col min="4" max="4" width="9.140625" style="4"/>
    <col min="5" max="5" width="30.42578125" style="4" customWidth="1"/>
    <col min="6" max="6" width="20" style="4" customWidth="1"/>
    <col min="7" max="7" width="8.85546875" style="4" bestFit="1" customWidth="1"/>
    <col min="8" max="8" width="32.28515625" style="4" customWidth="1"/>
    <col min="9" max="9" width="28.140625" style="4" customWidth="1"/>
    <col min="10" max="10" width="11.28515625" style="4" bestFit="1" customWidth="1"/>
    <col min="11" max="16384" width="9.140625" style="4"/>
  </cols>
  <sheetData>
    <row r="1" spans="1:10" ht="21" x14ac:dyDescent="0.35">
      <c r="A1" s="26" t="s">
        <v>499</v>
      </c>
      <c r="B1" s="7"/>
      <c r="C1" s="7"/>
      <c r="D1" s="7"/>
      <c r="E1" s="26" t="s">
        <v>500</v>
      </c>
      <c r="F1" s="7"/>
      <c r="G1" s="7"/>
    </row>
    <row r="2" spans="1:10" x14ac:dyDescent="0.25">
      <c r="A2" s="7"/>
      <c r="B2" s="7"/>
      <c r="C2" s="331"/>
      <c r="D2" s="7"/>
      <c r="E2" s="7"/>
      <c r="F2" s="7"/>
      <c r="G2" s="7"/>
    </row>
    <row r="3" spans="1:10" s="59" customFormat="1" ht="18.75" x14ac:dyDescent="0.3">
      <c r="A3" s="332" t="s">
        <v>498</v>
      </c>
      <c r="B3" s="466" t="str">
        <f>VLOOKUP(Straw!AL4,Tabeller!H19:I21,2)</f>
        <v>Extruded straw</v>
      </c>
      <c r="C3" s="467"/>
      <c r="D3" s="196"/>
      <c r="E3" s="335" t="s">
        <v>375</v>
      </c>
      <c r="F3" s="468" t="s">
        <v>358</v>
      </c>
      <c r="G3" s="468"/>
      <c r="I3" s="266"/>
      <c r="J3" s="266"/>
    </row>
    <row r="4" spans="1:10" x14ac:dyDescent="0.25">
      <c r="A4" s="7"/>
      <c r="B4" s="7"/>
      <c r="C4" s="7"/>
      <c r="D4" s="7"/>
      <c r="E4" s="7"/>
      <c r="F4" s="7"/>
      <c r="G4" s="7"/>
      <c r="I4" s="12"/>
    </row>
    <row r="5" spans="1:10" x14ac:dyDescent="0.25">
      <c r="A5" s="7"/>
      <c r="B5" s="7"/>
      <c r="C5" s="7"/>
      <c r="D5" s="7"/>
      <c r="E5" s="7"/>
      <c r="F5" s="7"/>
      <c r="G5" s="7"/>
    </row>
    <row r="6" spans="1:10" hidden="1" x14ac:dyDescent="0.25">
      <c r="A6" s="109" t="s">
        <v>351</v>
      </c>
      <c r="B6" s="234">
        <f>StrawYield</f>
        <v>676</v>
      </c>
      <c r="C6" s="109" t="s">
        <v>127</v>
      </c>
      <c r="D6" s="109"/>
      <c r="E6" s="109"/>
      <c r="F6" s="235">
        <f>StrawYield</f>
        <v>676</v>
      </c>
      <c r="G6" s="109" t="s">
        <v>127</v>
      </c>
    </row>
    <row r="7" spans="1:10" hidden="1" x14ac:dyDescent="0.25">
      <c r="A7" s="109"/>
      <c r="B7" s="234"/>
      <c r="C7" s="109"/>
      <c r="D7" s="109"/>
      <c r="E7" s="109"/>
      <c r="F7" s="235"/>
      <c r="G7" s="109"/>
    </row>
    <row r="8" spans="1:10" hidden="1" x14ac:dyDescent="0.25">
      <c r="A8" s="109" t="s">
        <v>443</v>
      </c>
      <c r="B8" s="234"/>
      <c r="C8" s="109"/>
      <c r="D8" s="109"/>
      <c r="E8" s="109"/>
      <c r="F8" s="235"/>
      <c r="G8" s="109"/>
    </row>
    <row r="9" spans="1:10" hidden="1" x14ac:dyDescent="0.25">
      <c r="A9" s="7" t="s">
        <v>185</v>
      </c>
      <c r="B9" s="48">
        <f>IF(Treatment=2,CEILING(StrawYield/BrKap,1),IF(Treatment=1,CEILING(StrawYield/Ex_kap,1),0))</f>
        <v>1</v>
      </c>
      <c r="C9" s="7" t="s">
        <v>134</v>
      </c>
      <c r="D9" s="7"/>
      <c r="E9" s="7"/>
      <c r="F9" s="7">
        <f>CEILING(StrawYield/PresserKap,1)</f>
        <v>1</v>
      </c>
      <c r="G9" s="7" t="s">
        <v>134</v>
      </c>
    </row>
    <row r="10" spans="1:10" hidden="1" x14ac:dyDescent="0.25">
      <c r="A10" s="7" t="s">
        <v>197</v>
      </c>
      <c r="B10" s="63">
        <f>IF(Treatment=2,BrKap*AntalEkBr,IF(Treatment=1,Ex_kap*AntalEkBr,0))</f>
        <v>10000</v>
      </c>
      <c r="C10" s="7" t="s">
        <v>127</v>
      </c>
      <c r="D10" s="7"/>
      <c r="E10" s="7"/>
      <c r="F10" s="333">
        <f>PresserKap*BrAntal</f>
        <v>10000</v>
      </c>
      <c r="G10" s="7" t="s">
        <v>152</v>
      </c>
      <c r="J10" s="58"/>
    </row>
    <row r="11" spans="1:10" hidden="1" x14ac:dyDescent="0.25">
      <c r="A11" s="7" t="s">
        <v>286</v>
      </c>
      <c r="B11" s="376">
        <f>IF(Treatment=3,0,IF(Treatment=1,StrawYield/Ex_kap*100,StrawYield/BrKap*100))</f>
        <v>6.76</v>
      </c>
      <c r="C11" s="7" t="s">
        <v>187</v>
      </c>
      <c r="D11" s="7"/>
      <c r="E11" s="7"/>
      <c r="F11" s="334">
        <f>Straw!AA18</f>
        <v>6.76</v>
      </c>
      <c r="G11" s="265" t="s">
        <v>187</v>
      </c>
      <c r="J11" s="58"/>
    </row>
    <row r="12" spans="1:10" hidden="1" x14ac:dyDescent="0.25">
      <c r="A12" s="7" t="s">
        <v>287</v>
      </c>
      <c r="B12" s="376">
        <f>Straw!C68</f>
        <v>80</v>
      </c>
      <c r="C12" s="7" t="s">
        <v>187</v>
      </c>
      <c r="D12" s="7"/>
      <c r="E12" s="7"/>
      <c r="F12" s="334">
        <f>Straw!AA19</f>
        <v>80</v>
      </c>
      <c r="G12" s="265" t="s">
        <v>187</v>
      </c>
      <c r="J12" s="58"/>
    </row>
    <row r="13" spans="1:10" hidden="1" x14ac:dyDescent="0.25">
      <c r="A13" s="7" t="s">
        <v>175</v>
      </c>
      <c r="B13" s="258">
        <f>IF(Treatment=1,Ex_Ydelse,(IF(Treatment=2,Br_Ydelse,0)))</f>
        <v>-729672.72786868934</v>
      </c>
      <c r="C13" s="7" t="s">
        <v>128</v>
      </c>
      <c r="D13" s="7"/>
      <c r="E13" s="7"/>
      <c r="F13" s="61">
        <f>Br_Ydelse</f>
        <v>-626589.87158614898</v>
      </c>
      <c r="G13" s="7" t="s">
        <v>128</v>
      </c>
    </row>
    <row r="14" spans="1:10" hidden="1" x14ac:dyDescent="0.25">
      <c r="A14" s="7" t="s">
        <v>186</v>
      </c>
      <c r="B14" s="258">
        <f>IF(Treatment=1,0,IF(Straw!AL4=2,BrPrisSamlet*Afskrivning,Ex_pris*Afskrivning))</f>
        <v>0</v>
      </c>
      <c r="C14" s="7" t="s">
        <v>128</v>
      </c>
      <c r="D14" s="7"/>
      <c r="E14" s="7"/>
      <c r="F14" s="62">
        <f>(BrPrisSamlet)*Afskrivning</f>
        <v>-472300</v>
      </c>
      <c r="G14" s="7" t="s">
        <v>128</v>
      </c>
      <c r="J14" s="58"/>
    </row>
    <row r="15" spans="1:10" hidden="1" x14ac:dyDescent="0.25">
      <c r="A15" s="49" t="s">
        <v>150</v>
      </c>
      <c r="B15" s="7"/>
      <c r="C15" s="7"/>
      <c r="D15" s="7"/>
      <c r="E15" s="7"/>
      <c r="F15" s="7"/>
      <c r="G15" s="7"/>
      <c r="J15" s="57"/>
    </row>
    <row r="16" spans="1:10" x14ac:dyDescent="0.25">
      <c r="A16" s="49"/>
      <c r="J16" s="57"/>
    </row>
    <row r="17" spans="1:10" x14ac:dyDescent="0.25">
      <c r="A17" s="7"/>
      <c r="J17" s="57"/>
    </row>
    <row r="18" spans="1:10" x14ac:dyDescent="0.25">
      <c r="J18" s="58"/>
    </row>
    <row r="19" spans="1:10" x14ac:dyDescent="0.25">
      <c r="A19" s="5" t="s">
        <v>501</v>
      </c>
      <c r="E19" s="5" t="s">
        <v>501</v>
      </c>
    </row>
    <row r="21" spans="1:10" x14ac:dyDescent="0.25">
      <c r="A21" s="205" t="s">
        <v>502</v>
      </c>
      <c r="B21" s="206">
        <f>Tedding+Pressing_bigbale</f>
        <v>-145.45454545454544</v>
      </c>
      <c r="C21" s="207" t="s">
        <v>168</v>
      </c>
      <c r="D21" s="199"/>
      <c r="E21" s="205" t="s">
        <v>502</v>
      </c>
      <c r="F21" s="209">
        <f>Tedding+Pressing_bigbale</f>
        <v>-145.45454545454544</v>
      </c>
      <c r="G21" s="197" t="s">
        <v>168</v>
      </c>
    </row>
    <row r="22" spans="1:10" x14ac:dyDescent="0.25">
      <c r="A22" s="205" t="s">
        <v>503</v>
      </c>
      <c r="B22" s="210">
        <f>StrawStoreFarm/StrawYield</f>
        <v>-196.54847685865849</v>
      </c>
      <c r="C22" s="207" t="s">
        <v>168</v>
      </c>
      <c r="D22" s="199"/>
      <c r="E22" s="205" t="s">
        <v>503</v>
      </c>
      <c r="F22" s="209">
        <f>Straw!AK39/StrawYield</f>
        <v>-41.611951876085342</v>
      </c>
      <c r="G22" s="197" t="s">
        <v>168</v>
      </c>
    </row>
    <row r="23" spans="1:10" x14ac:dyDescent="0.25">
      <c r="A23" s="205" t="s">
        <v>401</v>
      </c>
      <c r="B23" s="210">
        <f>StrawStoreFac/StrawYield</f>
        <v>-118.93743634593807</v>
      </c>
      <c r="C23" s="207" t="s">
        <v>168</v>
      </c>
      <c r="D23" s="199"/>
      <c r="E23" s="205" t="s">
        <v>401</v>
      </c>
      <c r="F23" s="209">
        <f>Straw!AK54/StrawYield</f>
        <v>-273.08757418754203</v>
      </c>
      <c r="G23" s="197" t="s">
        <v>168</v>
      </c>
    </row>
    <row r="24" spans="1:10" x14ac:dyDescent="0.25">
      <c r="A24" s="205" t="s">
        <v>1</v>
      </c>
      <c r="B24" s="210">
        <f>(HalmlæssehastMark*TraktorPrisLager/60)+(LæsFrontBig*TraktorPrisLager/60)+2*(AfstandLager*TraktorPrisLager/(TraktorHastVej*BalleKapTon))+(LæsseHastLand*(TransAnlægPris+LæsseLandPris)/60)+(LæsseHastAnlæg*(TransAnlægPris+LæsseAnlægPris)/60)+2*(AfstandAnlæg*TransAnlægPris/(AnlægKMperTIME*AnlægTransportKapNY))</f>
        <v>-141.34211344211346</v>
      </c>
      <c r="C24" s="211" t="s">
        <v>168</v>
      </c>
      <c r="D24" s="7"/>
      <c r="E24" s="205" t="s">
        <v>1</v>
      </c>
      <c r="F24" s="209">
        <f>(HalmlæssehastMark*TraktorPrisLager/60)+2*(MarktilPresse*TraktorPrisLager/(TraktorHastVej*BalleKapTon))+(LæsFrontBig*TraktorPrisLager/60)+(BrLæssetimepris*BrAflæsKap/60)+(BrAflæsKap*BrTipvogn/60)+2*(BrAfstand*BrTipvogn/(LastbilHast*BrTipKap))+(BrAflæsKap*BrTipvogn/60)</f>
        <v>-253.63988402823352</v>
      </c>
      <c r="G24" s="198" t="s">
        <v>168</v>
      </c>
    </row>
    <row r="25" spans="1:10" x14ac:dyDescent="0.25">
      <c r="A25" s="205" t="s">
        <v>443</v>
      </c>
      <c r="B25" s="210">
        <f>IF(Treatment=1,(AntalEkBr*(YdelseMaskiner+EX_forsik)*(Straw!C67/(Straw!C67+Straw!C68))/StrawYield)+Ex_driftogVedlige,IF(Treatment=2,AntalEkBr*(YdelseMaskiner+Br_Forsik)*(Straw!C67/(Straw!C67+Straw!C68)/StrawYield)+Br_driftogvedlige,0))</f>
        <v>-188.66545964369402</v>
      </c>
      <c r="C25" s="212" t="s">
        <v>168</v>
      </c>
      <c r="D25" s="199"/>
      <c r="E25" s="205" t="s">
        <v>443</v>
      </c>
      <c r="F25" s="209">
        <f>AntalEkBr*(YdelseMaskiner+Br_Forsik)*(Straw!AA18/(Straw!AA18+Straw!AA19)/StrawYield)+Br_driftogvedlige</f>
        <v>-165.86545964369401</v>
      </c>
      <c r="G25" s="198" t="s">
        <v>168</v>
      </c>
    </row>
    <row r="26" spans="1:10" x14ac:dyDescent="0.25">
      <c r="A26" s="205" t="s">
        <v>504</v>
      </c>
      <c r="B26" s="210">
        <f>SUM(B21:B25)</f>
        <v>-790.9480317449495</v>
      </c>
      <c r="C26" s="212" t="s">
        <v>168</v>
      </c>
      <c r="D26" s="199"/>
      <c r="E26" s="205" t="s">
        <v>504</v>
      </c>
      <c r="F26" s="209">
        <f>SUM(F21:F25)</f>
        <v>-879.65941519010039</v>
      </c>
      <c r="G26" s="198" t="s">
        <v>168</v>
      </c>
    </row>
    <row r="27" spans="1:10" x14ac:dyDescent="0.25">
      <c r="A27" s="227" t="s">
        <v>399</v>
      </c>
      <c r="B27" s="228">
        <f>B26*StrawYield</f>
        <v>-534680.86945958587</v>
      </c>
      <c r="C27" s="229" t="s">
        <v>159</v>
      </c>
      <c r="D27" s="199"/>
      <c r="E27" s="227" t="s">
        <v>399</v>
      </c>
      <c r="F27" s="230">
        <f>F26*F6</f>
        <v>-594649.76466850785</v>
      </c>
      <c r="G27" s="231" t="s">
        <v>159</v>
      </c>
    </row>
    <row r="28" spans="1:10" x14ac:dyDescent="0.25">
      <c r="A28" s="199"/>
      <c r="B28" s="199"/>
      <c r="C28" s="199"/>
      <c r="D28" s="199"/>
      <c r="E28" s="199"/>
      <c r="F28" s="199"/>
      <c r="G28" s="199"/>
    </row>
    <row r="29" spans="1:10" x14ac:dyDescent="0.25">
      <c r="A29" s="5" t="s">
        <v>521</v>
      </c>
      <c r="B29" s="199"/>
      <c r="C29" s="199"/>
      <c r="D29" s="199"/>
      <c r="E29" s="5" t="s">
        <v>522</v>
      </c>
      <c r="F29" s="199"/>
      <c r="G29" s="199"/>
    </row>
    <row r="30" spans="1:10" x14ac:dyDescent="0.25">
      <c r="A30" s="199"/>
      <c r="B30" s="199"/>
      <c r="C30" s="200"/>
      <c r="D30" s="199"/>
      <c r="E30" s="199"/>
      <c r="F30" s="199"/>
      <c r="G30" s="200"/>
    </row>
    <row r="31" spans="1:10" x14ac:dyDescent="0.25">
      <c r="A31" s="208" t="s">
        <v>505</v>
      </c>
      <c r="B31" s="204">
        <f>IF(Treatment=3, EnergiMetan*VS*MetanHvedehalm,IF(Treatment=2, EnergiMetan*VS*MetanBr, EnergiMetan*VS*MetanEx))</f>
        <v>2382.1999999999998</v>
      </c>
      <c r="C31" s="207" t="s">
        <v>184</v>
      </c>
      <c r="D31" s="199"/>
      <c r="E31" s="208" t="s">
        <v>505</v>
      </c>
      <c r="F31" s="204">
        <f>EnergiMetan*MetanBr*VS</f>
        <v>2382.1999999999998</v>
      </c>
      <c r="G31" s="207" t="s">
        <v>184</v>
      </c>
    </row>
    <row r="32" spans="1:10" x14ac:dyDescent="0.25">
      <c r="A32" s="215" t="s">
        <v>506</v>
      </c>
      <c r="B32" s="209">
        <f>$B$31*Elprocent</f>
        <v>952.88</v>
      </c>
      <c r="C32" s="207" t="s">
        <v>184</v>
      </c>
      <c r="D32" s="199"/>
      <c r="E32" s="215" t="s">
        <v>512</v>
      </c>
      <c r="F32" s="209">
        <f>$F$31*Elprocent</f>
        <v>952.88</v>
      </c>
      <c r="G32" s="213" t="s">
        <v>184</v>
      </c>
    </row>
    <row r="33" spans="1:8" x14ac:dyDescent="0.25">
      <c r="A33" s="215" t="s">
        <v>507</v>
      </c>
      <c r="B33" s="209">
        <f>$B$31*Varmeprocent</f>
        <v>1191.0999999999999</v>
      </c>
      <c r="C33" s="207" t="s">
        <v>184</v>
      </c>
      <c r="D33" s="199"/>
      <c r="E33" s="215" t="s">
        <v>507</v>
      </c>
      <c r="F33" s="209">
        <f>$F$31*Varmeprocent</f>
        <v>1191.0999999999999</v>
      </c>
      <c r="G33" s="213" t="s">
        <v>184</v>
      </c>
    </row>
    <row r="34" spans="1:8" x14ac:dyDescent="0.25">
      <c r="A34" s="208" t="s">
        <v>508</v>
      </c>
      <c r="B34" s="209">
        <f>B32*Elpris</f>
        <v>1057.6968000000002</v>
      </c>
      <c r="C34" s="211" t="s">
        <v>168</v>
      </c>
      <c r="D34" s="201"/>
      <c r="E34" s="208" t="s">
        <v>508</v>
      </c>
      <c r="F34" s="209">
        <f>F32*Elpris</f>
        <v>1057.6968000000002</v>
      </c>
      <c r="G34" s="211" t="s">
        <v>168</v>
      </c>
    </row>
    <row r="35" spans="1:8" x14ac:dyDescent="0.25">
      <c r="A35" s="208" t="s">
        <v>509</v>
      </c>
      <c r="B35" s="209">
        <f>B33*Varmepris</f>
        <v>297.77499999999998</v>
      </c>
      <c r="C35" s="207" t="s">
        <v>168</v>
      </c>
      <c r="D35" s="199"/>
      <c r="E35" s="208" t="s">
        <v>509</v>
      </c>
      <c r="F35" s="209">
        <f>F33*Varmepris</f>
        <v>297.77499999999998</v>
      </c>
      <c r="G35" s="212" t="s">
        <v>168</v>
      </c>
    </row>
    <row r="36" spans="1:8" x14ac:dyDescent="0.25">
      <c r="A36" s="208" t="s">
        <v>510</v>
      </c>
      <c r="B36" s="209">
        <f>B34+B35</f>
        <v>1355.4718000000003</v>
      </c>
      <c r="C36" s="211" t="s">
        <v>168</v>
      </c>
      <c r="D36" s="199"/>
      <c r="E36" s="208" t="s">
        <v>510</v>
      </c>
      <c r="F36" s="209">
        <f>F34+F35</f>
        <v>1355.4718000000003</v>
      </c>
      <c r="G36" s="207" t="s">
        <v>168</v>
      </c>
    </row>
    <row r="37" spans="1:8" x14ac:dyDescent="0.25">
      <c r="A37" s="232" t="s">
        <v>511</v>
      </c>
      <c r="B37" s="230">
        <f>B36*StrawYield</f>
        <v>916298.93680000014</v>
      </c>
      <c r="C37" s="229" t="s">
        <v>159</v>
      </c>
      <c r="D37" s="199"/>
      <c r="E37" s="232" t="s">
        <v>511</v>
      </c>
      <c r="F37" s="233">
        <f>F36*StrawYield</f>
        <v>916298.93680000014</v>
      </c>
      <c r="G37" s="229" t="s">
        <v>159</v>
      </c>
      <c r="H37" s="114"/>
    </row>
    <row r="38" spans="1:8" x14ac:dyDescent="0.25">
      <c r="A38" s="199"/>
      <c r="B38" s="202"/>
      <c r="C38" s="214"/>
      <c r="D38" s="199"/>
      <c r="E38" s="199"/>
      <c r="F38" s="202"/>
      <c r="G38" s="214"/>
      <c r="H38" s="12"/>
    </row>
    <row r="39" spans="1:8" x14ac:dyDescent="0.25">
      <c r="A39" s="224" t="s">
        <v>63</v>
      </c>
      <c r="B39" s="225">
        <f>B37+B27</f>
        <v>381618.06734041427</v>
      </c>
      <c r="C39" s="226" t="s">
        <v>159</v>
      </c>
      <c r="D39" s="203"/>
      <c r="E39" s="224" t="s">
        <v>63</v>
      </c>
      <c r="F39" s="225">
        <f>F37+F27</f>
        <v>321649.17213149229</v>
      </c>
      <c r="G39" s="226" t="s">
        <v>159</v>
      </c>
      <c r="H39" s="114"/>
    </row>
    <row r="40" spans="1:8" x14ac:dyDescent="0.25">
      <c r="B40" s="12"/>
      <c r="C40" s="111"/>
      <c r="G40" s="111"/>
    </row>
    <row r="41" spans="1:8" x14ac:dyDescent="0.25">
      <c r="B41" s="12"/>
    </row>
    <row r="42" spans="1:8" x14ac:dyDescent="0.25">
      <c r="B42" s="12"/>
    </row>
    <row r="45" spans="1:8" x14ac:dyDescent="0.25">
      <c r="A45" s="109"/>
    </row>
    <row r="47" spans="1:8" x14ac:dyDescent="0.25">
      <c r="A47" s="109"/>
    </row>
    <row r="54" spans="1:1" x14ac:dyDescent="0.25">
      <c r="A54" s="109"/>
    </row>
    <row r="61" spans="1:1" x14ac:dyDescent="0.25">
      <c r="A61" s="109"/>
    </row>
    <row r="65" spans="1:1" x14ac:dyDescent="0.25">
      <c r="A65" s="109"/>
    </row>
  </sheetData>
  <mergeCells count="2">
    <mergeCell ref="B3:C3"/>
    <mergeCell ref="F3:G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GåTilHvedehalm">
                <anchor moveWithCells="1" sizeWithCells="1">
                  <from>
                    <xdr:col>7</xdr:col>
                    <xdr:colOff>781050</xdr:colOff>
                    <xdr:row>28</xdr:row>
                    <xdr:rowOff>104775</xdr:rowOff>
                  </from>
                  <to>
                    <xdr:col>8</xdr:col>
                    <xdr:colOff>409575</xdr:colOff>
                    <xdr:row>30</xdr:row>
                    <xdr:rowOff>85725</xdr:rowOff>
                  </to>
                </anchor>
              </controlPr>
            </control>
          </mc:Choice>
        </mc:AlternateContent>
        <mc:AlternateContent xmlns:mc="http://schemas.openxmlformats.org/markup-compatibility/2006">
          <mc:Choice Requires="x14">
            <control shapeId="21506" r:id="rId5" name="Button 2">
              <controlPr defaultSize="0" print="0" autoFill="0" autoPict="0" macro="[0]!TilbageTilHovedmenuFraHalm">
                <anchor moveWithCells="1" sizeWithCells="1">
                  <from>
                    <xdr:col>8</xdr:col>
                    <xdr:colOff>514350</xdr:colOff>
                    <xdr:row>28</xdr:row>
                    <xdr:rowOff>85725</xdr:rowOff>
                  </from>
                  <to>
                    <xdr:col>9</xdr:col>
                    <xdr:colOff>361950</xdr:colOff>
                    <xdr:row>30</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9">
    <tabColor theme="6" tint="0.59999389629810485"/>
  </sheetPr>
  <dimension ref="A1:H34"/>
  <sheetViews>
    <sheetView workbookViewId="0">
      <selection activeCell="B41" sqref="B41"/>
    </sheetView>
  </sheetViews>
  <sheetFormatPr defaultRowHeight="15" x14ac:dyDescent="0.25"/>
  <cols>
    <col min="1" max="1" width="38.28515625" style="4" bestFit="1" customWidth="1"/>
    <col min="2" max="2" width="20.7109375" style="4" customWidth="1"/>
    <col min="3" max="3" width="9.140625" style="4"/>
    <col min="4" max="4" width="28.5703125" style="4" customWidth="1"/>
    <col min="5" max="5" width="26.7109375" style="4" customWidth="1"/>
    <col min="6" max="6" width="18.140625" style="4" customWidth="1"/>
    <col min="7" max="7" width="32.28515625" style="4" customWidth="1"/>
    <col min="8" max="8" width="28.140625" style="4" customWidth="1"/>
    <col min="9" max="9" width="11.28515625" style="4" bestFit="1" customWidth="1"/>
    <col min="10" max="16384" width="9.140625" style="4"/>
  </cols>
  <sheetData>
    <row r="1" spans="1:8" ht="21" x14ac:dyDescent="0.35">
      <c r="A1" s="3" t="s">
        <v>520</v>
      </c>
      <c r="B1" s="55"/>
      <c r="C1" s="55"/>
      <c r="D1" s="54"/>
      <c r="E1" s="55"/>
    </row>
    <row r="2" spans="1:8" ht="21" x14ac:dyDescent="0.35">
      <c r="A2" s="7"/>
      <c r="B2" s="7"/>
      <c r="C2" s="7"/>
      <c r="D2" s="54"/>
    </row>
    <row r="3" spans="1:8" ht="18.75" x14ac:dyDescent="0.3">
      <c r="A3" s="336" t="s">
        <v>519</v>
      </c>
      <c r="B3" s="336" t="str">
        <f>VLOOKUP('Rape straw'!AR4,Tabeller!H19:I21,2)</f>
        <v>Briquetted straw</v>
      </c>
      <c r="C3" s="7"/>
      <c r="H3" s="12"/>
    </row>
    <row r="4" spans="1:8" x14ac:dyDescent="0.25">
      <c r="A4" s="7"/>
      <c r="B4" s="7"/>
      <c r="C4" s="7"/>
    </row>
    <row r="5" spans="1:8" x14ac:dyDescent="0.25">
      <c r="A5" s="7"/>
      <c r="B5" s="7"/>
      <c r="C5" s="7"/>
    </row>
    <row r="6" spans="1:8" x14ac:dyDescent="0.25">
      <c r="A6" s="7" t="s">
        <v>137</v>
      </c>
      <c r="B6" s="260">
        <f>RapsHøstudbytte</f>
        <v>195</v>
      </c>
      <c r="C6" s="7" t="s">
        <v>127</v>
      </c>
    </row>
    <row r="7" spans="1:8" x14ac:dyDescent="0.25">
      <c r="A7" s="7" t="s">
        <v>129</v>
      </c>
      <c r="B7" s="260" t="e">
        <f>LAGER_KAPACITET*LAGER_UDNYTTELSE*Densitet_bigballe</f>
        <v>#REF!</v>
      </c>
      <c r="C7" s="7" t="s">
        <v>127</v>
      </c>
    </row>
    <row r="8" spans="1:8" x14ac:dyDescent="0.25">
      <c r="A8" s="7" t="s">
        <v>133</v>
      </c>
      <c r="B8" s="260" t="e">
        <f>FLOOR(RapsHøstudbytte/EX_LAGER,1)</f>
        <v>#REF!</v>
      </c>
      <c r="C8" s="7" t="s">
        <v>134</v>
      </c>
    </row>
    <row r="9" spans="1:8" x14ac:dyDescent="0.25">
      <c r="A9" s="7" t="s">
        <v>130</v>
      </c>
      <c r="B9" s="258" t="e">
        <f>PMT(LAGER_RENTE,LAGER_LÅN_LØBETID,LAGER_PRIS)</f>
        <v>#REF!</v>
      </c>
      <c r="C9" s="7" t="s">
        <v>128</v>
      </c>
      <c r="D9" s="4" t="s">
        <v>132</v>
      </c>
    </row>
    <row r="10" spans="1:8" x14ac:dyDescent="0.25">
      <c r="A10" s="7" t="s">
        <v>131</v>
      </c>
      <c r="B10" s="258" t="e">
        <f>-LAGER_PRIS*LAGER_AFSKRIVNING</f>
        <v>#REF!</v>
      </c>
      <c r="C10" s="7" t="s">
        <v>128</v>
      </c>
    </row>
    <row r="11" spans="1:8" x14ac:dyDescent="0.25">
      <c r="A11" s="7" t="s">
        <v>175</v>
      </c>
      <c r="B11" s="258">
        <f>IF(Rapsbehandling=2,Br_Ydelse,(IF(Rapsbehandling=1,Ex_Ydelse,0)))</f>
        <v>-626589.87158614898</v>
      </c>
      <c r="C11" s="7" t="s">
        <v>128</v>
      </c>
    </row>
    <row r="12" spans="1:8" x14ac:dyDescent="0.25">
      <c r="A12" s="7" t="s">
        <v>186</v>
      </c>
      <c r="B12" s="258">
        <f>IF(Rapsbehandling=3,0,IF(Rapsbehandling=2,BrPrisSamlet*AFSKRIVNING,Ex_pris*AFSKRIVNING))</f>
        <v>-472300</v>
      </c>
      <c r="C12" s="7" t="s">
        <v>128</v>
      </c>
    </row>
    <row r="13" spans="1:8" x14ac:dyDescent="0.25">
      <c r="A13" s="7"/>
      <c r="B13" s="7"/>
      <c r="C13" s="7"/>
    </row>
    <row r="14" spans="1:8" x14ac:dyDescent="0.25">
      <c r="A14" s="49" t="s">
        <v>501</v>
      </c>
      <c r="B14" s="7"/>
      <c r="C14" s="7"/>
    </row>
    <row r="15" spans="1:8" x14ac:dyDescent="0.25">
      <c r="A15" s="7"/>
      <c r="B15" s="7"/>
      <c r="C15" s="7"/>
    </row>
    <row r="16" spans="1:8" x14ac:dyDescent="0.25">
      <c r="A16" s="205" t="s">
        <v>502</v>
      </c>
      <c r="B16" s="261">
        <f>Tedding+Pressing_bigbale</f>
        <v>-145.45454545454544</v>
      </c>
      <c r="C16" s="207" t="s">
        <v>168</v>
      </c>
    </row>
    <row r="17" spans="1:4" x14ac:dyDescent="0.25">
      <c r="A17" s="205" t="s">
        <v>503</v>
      </c>
      <c r="B17" s="261">
        <f>'Rape straw'!X25/RapsHøstudbytte</f>
        <v>-258.02660973628753</v>
      </c>
      <c r="C17" s="207" t="s">
        <v>168</v>
      </c>
    </row>
    <row r="18" spans="1:4" x14ac:dyDescent="0.25">
      <c r="A18" s="205" t="s">
        <v>401</v>
      </c>
      <c r="B18" s="261">
        <f>'Rape straw'!X38/RapsHøstudbytte</f>
        <v>-66.553658244222191</v>
      </c>
      <c r="C18" s="207" t="s">
        <v>168</v>
      </c>
    </row>
    <row r="19" spans="1:4" x14ac:dyDescent="0.25">
      <c r="A19" s="205" t="s">
        <v>1</v>
      </c>
      <c r="B19" s="261">
        <f>(Frontlæssehast_mark*TraktorPrisLager/60)+(Frontlæsse_hast*TraktorPrisLager/60)+2*(RapsAfstandLager*TraktorPrisLager/(Traktor_Hastighed_mark*Bigballe_Kap_1mand_Ton))+(RapsLæsseHastLand*(Raps_Transanlæg+RapsLæsselandmandPris)/60)+(RapsLæsseHastAnlæg*(Raps_Transanlæg+RapslæsseAnlæg)/60)+2*(RapsTransAfstand*Raps_Transanlæg/(RapsTransHast*RapsAnlægTransKap))</f>
        <v>-534.84848484848476</v>
      </c>
      <c r="C19" s="211" t="s">
        <v>168</v>
      </c>
    </row>
    <row r="20" spans="1:4" x14ac:dyDescent="0.25">
      <c r="A20" s="205" t="s">
        <v>443</v>
      </c>
      <c r="B20" s="261">
        <f>IF(Rapsbehandling=1,(Ex_Ydelse+EX_forsik)*(UdnytForbRaps/(UdnytForbRaps+'Rape straw'!H6))/RapsHøstudbytte+Ex_driftogVedlige,IF(Rapsbehandling=2,(Br_Ydelse+Br_Forsik)*(UdnytForbRaps/(UdnytForbRaps+'Rape straw'!H6))/RapsHøstudbytte+Br_driftogvedlige,0))</f>
        <v>-148.01595227101109</v>
      </c>
      <c r="C20" s="212" t="s">
        <v>168</v>
      </c>
    </row>
    <row r="21" spans="1:4" x14ac:dyDescent="0.25">
      <c r="A21" s="205" t="s">
        <v>514</v>
      </c>
      <c r="B21" s="261">
        <f>SUM(B16:B20)</f>
        <v>-1152.8992505545511</v>
      </c>
      <c r="C21" s="212" t="s">
        <v>168</v>
      </c>
      <c r="D21" s="4" t="s">
        <v>269</v>
      </c>
    </row>
    <row r="22" spans="1:4" x14ac:dyDescent="0.25">
      <c r="A22" s="227" t="s">
        <v>515</v>
      </c>
      <c r="B22" s="262">
        <f>B21*RapsHøstudbytte</f>
        <v>-224815.35385813747</v>
      </c>
      <c r="C22" s="229" t="s">
        <v>159</v>
      </c>
    </row>
    <row r="23" spans="1:4" x14ac:dyDescent="0.25">
      <c r="B23" s="7"/>
      <c r="C23" s="7"/>
    </row>
    <row r="24" spans="1:4" x14ac:dyDescent="0.25">
      <c r="A24" s="49" t="s">
        <v>516</v>
      </c>
      <c r="B24" s="7"/>
      <c r="C24" s="7"/>
    </row>
    <row r="25" spans="1:4" x14ac:dyDescent="0.25">
      <c r="A25" s="7"/>
      <c r="B25" s="7"/>
      <c r="C25" s="7"/>
    </row>
    <row r="26" spans="1:4" x14ac:dyDescent="0.25">
      <c r="A26" s="208" t="s">
        <v>505</v>
      </c>
      <c r="B26" s="263">
        <f>IF(Rapsbehandling=3, EnergiMetan*VSraps*MetanRaps,IF(Rapsbehandling=2, EnergiMetan*VSraps*MetanRapsBR, EnergiMetan*VSraps*MetanRapsEX))</f>
        <v>2909.04</v>
      </c>
      <c r="C26" s="207" t="s">
        <v>184</v>
      </c>
    </row>
    <row r="27" spans="1:4" x14ac:dyDescent="0.25">
      <c r="A27" s="215" t="s">
        <v>517</v>
      </c>
      <c r="B27" s="261">
        <f>$B$26*Elprocent</f>
        <v>1163.616</v>
      </c>
      <c r="C27" s="207" t="s">
        <v>184</v>
      </c>
    </row>
    <row r="28" spans="1:4" x14ac:dyDescent="0.25">
      <c r="A28" s="215" t="s">
        <v>507</v>
      </c>
      <c r="B28" s="261">
        <f>$B$26*Varmeprocent</f>
        <v>1454.52</v>
      </c>
      <c r="C28" s="207" t="s">
        <v>184</v>
      </c>
    </row>
    <row r="29" spans="1:4" x14ac:dyDescent="0.25">
      <c r="A29" s="208" t="s">
        <v>508</v>
      </c>
      <c r="B29" s="261">
        <f>B27*Elpris</f>
        <v>1291.6137600000002</v>
      </c>
      <c r="C29" s="211" t="s">
        <v>168</v>
      </c>
    </row>
    <row r="30" spans="1:4" x14ac:dyDescent="0.25">
      <c r="A30" s="208" t="s">
        <v>518</v>
      </c>
      <c r="B30" s="261">
        <f>B28*Varmepris</f>
        <v>363.63</v>
      </c>
      <c r="C30" s="207" t="s">
        <v>168</v>
      </c>
    </row>
    <row r="31" spans="1:4" x14ac:dyDescent="0.25">
      <c r="A31" s="208" t="s">
        <v>510</v>
      </c>
      <c r="B31" s="261">
        <f>B29+B30</f>
        <v>1655.2437600000003</v>
      </c>
      <c r="C31" s="211" t="s">
        <v>168</v>
      </c>
    </row>
    <row r="32" spans="1:4" x14ac:dyDescent="0.25">
      <c r="A32" s="232" t="s">
        <v>511</v>
      </c>
      <c r="B32" s="262">
        <f>B31*RapsHøstudbytte</f>
        <v>322772.53320000006</v>
      </c>
      <c r="C32" s="229" t="s">
        <v>159</v>
      </c>
    </row>
    <row r="33" spans="1:3" x14ac:dyDescent="0.25">
      <c r="A33" s="7"/>
      <c r="B33" s="7"/>
      <c r="C33" s="214"/>
    </row>
    <row r="34" spans="1:3" x14ac:dyDescent="0.25">
      <c r="A34" s="259" t="s">
        <v>63</v>
      </c>
      <c r="B34" s="264">
        <f>B32+B22</f>
        <v>97957.179341862589</v>
      </c>
      <c r="C34" s="226" t="s">
        <v>159</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Button 1">
              <controlPr defaultSize="0" print="0" autoFill="0" autoPict="0" macro="[0]!TilbageTilHalmIndtastning">
                <anchor moveWithCells="1" sizeWithCells="1">
                  <from>
                    <xdr:col>0</xdr:col>
                    <xdr:colOff>47625</xdr:colOff>
                    <xdr:row>35</xdr:row>
                    <xdr:rowOff>9525</xdr:rowOff>
                  </from>
                  <to>
                    <xdr:col>2</xdr:col>
                    <xdr:colOff>0</xdr:colOff>
                    <xdr:row>36</xdr:row>
                    <xdr:rowOff>180975</xdr:rowOff>
                  </to>
                </anchor>
              </controlPr>
            </control>
          </mc:Choice>
        </mc:AlternateContent>
        <mc:AlternateContent xmlns:mc="http://schemas.openxmlformats.org/markup-compatibility/2006">
          <mc:Choice Requires="x14">
            <control shapeId="108546" r:id="rId5" name="Button 2">
              <controlPr defaultSize="0" print="0" autoFill="0" autoPict="0" macro="[0]!TilbageTilHovedmenuFraHalm">
                <anchor moveWithCells="1" sizeWithCells="1">
                  <from>
                    <xdr:col>4</xdr:col>
                    <xdr:colOff>180975</xdr:colOff>
                    <xdr:row>23</xdr:row>
                    <xdr:rowOff>19050</xdr:rowOff>
                  </from>
                  <to>
                    <xdr:col>4</xdr:col>
                    <xdr:colOff>1752600</xdr:colOff>
                    <xdr:row>25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tabColor theme="6" tint="0.59999389629810485"/>
  </sheetPr>
  <dimension ref="A1:I29"/>
  <sheetViews>
    <sheetView topLeftCell="A39" workbookViewId="0">
      <selection activeCell="D58" sqref="D58"/>
    </sheetView>
  </sheetViews>
  <sheetFormatPr defaultRowHeight="15" x14ac:dyDescent="0.25"/>
  <cols>
    <col min="1" max="1" width="29.140625" style="4" customWidth="1"/>
    <col min="2" max="2" width="22.42578125" style="4" customWidth="1"/>
    <col min="3" max="6" width="9.140625" style="4"/>
    <col min="7" max="7" width="35.28515625" style="4" bestFit="1" customWidth="1"/>
    <col min="8" max="8" width="10" style="4" bestFit="1" customWidth="1"/>
    <col min="9" max="9" width="11.28515625" style="4" bestFit="1" customWidth="1"/>
    <col min="10" max="16384" width="9.140625" style="4"/>
  </cols>
  <sheetData>
    <row r="1" spans="1:9" ht="21" x14ac:dyDescent="0.35">
      <c r="A1" s="6" t="s">
        <v>513</v>
      </c>
    </row>
    <row r="3" spans="1:9" ht="18.75" x14ac:dyDescent="0.3">
      <c r="A3" s="337" t="s">
        <v>375</v>
      </c>
      <c r="B3" s="469" t="str">
        <f>IF('Meadow grass'!AG6=1,"Round bale, Wrap",IF('Meadow grass'!AG6=2,"Round bale, covered",IF('Meadow grass'!AG6=3,"Round bale","FAIL")))</f>
        <v>Round bale, Wrap</v>
      </c>
      <c r="C3" s="470"/>
    </row>
    <row r="4" spans="1:9" ht="18.75" x14ac:dyDescent="0.3">
      <c r="A4" s="59"/>
      <c r="B4" s="471" t="str">
        <f>IF(ExafEng=TRUE,"Extruderet","Ingen forbehandling")</f>
        <v>Extruderet</v>
      </c>
      <c r="C4" s="472"/>
    </row>
    <row r="5" spans="1:9" x14ac:dyDescent="0.25">
      <c r="A5" s="7"/>
      <c r="B5" s="7"/>
      <c r="C5" s="7"/>
    </row>
    <row r="6" spans="1:9" x14ac:dyDescent="0.25">
      <c r="A6" s="7" t="s">
        <v>351</v>
      </c>
      <c r="B6" s="260">
        <f>UdbytVaadEng</f>
        <v>69.599999999999994</v>
      </c>
      <c r="C6" s="7" t="s">
        <v>127</v>
      </c>
    </row>
    <row r="7" spans="1:9" x14ac:dyDescent="0.25">
      <c r="A7" s="7"/>
      <c r="B7" s="260"/>
      <c r="C7" s="7"/>
    </row>
    <row r="8" spans="1:9" x14ac:dyDescent="0.25">
      <c r="A8" s="7"/>
      <c r="B8" s="260"/>
      <c r="C8" s="7"/>
    </row>
    <row r="10" spans="1:9" x14ac:dyDescent="0.25">
      <c r="A10" s="5" t="s">
        <v>501</v>
      </c>
      <c r="E10" s="4" t="s">
        <v>25</v>
      </c>
    </row>
    <row r="12" spans="1:9" x14ac:dyDescent="0.25">
      <c r="A12" s="205" t="s">
        <v>523</v>
      </c>
      <c r="B12" s="209">
        <f>HøstprisVådEng/'Meadow grass'!C6</f>
        <v>-356.37931034482762</v>
      </c>
      <c r="C12" s="197" t="s">
        <v>168</v>
      </c>
    </row>
    <row r="13" spans="1:9" x14ac:dyDescent="0.25">
      <c r="A13" s="205" t="s">
        <v>401</v>
      </c>
      <c r="B13" s="209">
        <f>LagerPrisVådEng</f>
        <v>0</v>
      </c>
      <c r="C13" s="197" t="s">
        <v>168</v>
      </c>
      <c r="H13" s="58"/>
    </row>
    <row r="14" spans="1:9" x14ac:dyDescent="0.25">
      <c r="A14" s="205" t="s">
        <v>524</v>
      </c>
      <c r="B14" s="209">
        <f>IF(EngAfstand&gt;0,2*('Meadow grass'!C39*EngLæsse/60)+2*(EngAfstand*EngTransPris/(EngHast*EngTransKap)),0)</f>
        <v>-54.151352590421894</v>
      </c>
      <c r="C14" s="198" t="s">
        <v>168</v>
      </c>
      <c r="G14" s="58"/>
    </row>
    <row r="15" spans="1:9" x14ac:dyDescent="0.25">
      <c r="A15" s="205" t="s">
        <v>443</v>
      </c>
      <c r="B15" s="338">
        <f>IF(ExafEng=TRUE,(EX_forsik+Ex_Ydelse)*(ExEngUdnytKap/(ExEngUdnytKap+'Meadow grass'!M9))/UdbytVaadEng+(Ex_driftogVedlige),0)</f>
        <v>-258.91022011431932</v>
      </c>
      <c r="C15" s="198" t="s">
        <v>168</v>
      </c>
      <c r="I15" s="58"/>
    </row>
    <row r="16" spans="1:9" x14ac:dyDescent="0.25">
      <c r="A16" s="205" t="s">
        <v>525</v>
      </c>
      <c r="B16" s="209">
        <f>SUM(B12:B15)</f>
        <v>-669.44088304956881</v>
      </c>
      <c r="C16" s="198" t="s">
        <v>168</v>
      </c>
      <c r="E16" s="28">
        <f>B16*100/1000/0.8</f>
        <v>-83.680110381196087</v>
      </c>
      <c r="F16" s="4" t="s">
        <v>316</v>
      </c>
      <c r="I16" s="398"/>
    </row>
    <row r="17" spans="1:9" x14ac:dyDescent="0.25">
      <c r="A17" s="227" t="s">
        <v>460</v>
      </c>
      <c r="B17" s="230">
        <f>B16*UdbytVaadEng</f>
        <v>-46593.085460249982</v>
      </c>
      <c r="C17" s="231" t="s">
        <v>159</v>
      </c>
      <c r="E17" s="4" t="s">
        <v>317</v>
      </c>
      <c r="I17" s="58"/>
    </row>
    <row r="18" spans="1:9" x14ac:dyDescent="0.25">
      <c r="A18" s="199"/>
      <c r="B18" s="199"/>
      <c r="C18" s="199"/>
      <c r="I18" s="58"/>
    </row>
    <row r="19" spans="1:9" x14ac:dyDescent="0.25">
      <c r="A19" s="5" t="s">
        <v>526</v>
      </c>
      <c r="B19" s="199"/>
      <c r="C19" s="199"/>
    </row>
    <row r="20" spans="1:9" x14ac:dyDescent="0.25">
      <c r="A20" s="199"/>
      <c r="B20" s="199"/>
      <c r="C20" s="200"/>
    </row>
    <row r="21" spans="1:9" x14ac:dyDescent="0.25">
      <c r="A21" s="208" t="s">
        <v>527</v>
      </c>
      <c r="B21" s="204">
        <f>IF(ExafEng=TRUE,EnergiMetan*MetanEngEx*VSEng*0.01,EnergiMetan*MetanEng*VSEng*0.01)</f>
        <v>1905</v>
      </c>
      <c r="C21" s="207" t="s">
        <v>184</v>
      </c>
    </row>
    <row r="22" spans="1:9" x14ac:dyDescent="0.25">
      <c r="A22" s="215" t="s">
        <v>506</v>
      </c>
      <c r="B22" s="209">
        <f>$B$21*Elprocent</f>
        <v>762</v>
      </c>
      <c r="C22" s="213" t="s">
        <v>184</v>
      </c>
    </row>
    <row r="23" spans="1:9" x14ac:dyDescent="0.25">
      <c r="A23" s="215" t="s">
        <v>507</v>
      </c>
      <c r="B23" s="209">
        <f>$B$21*Varmeprocent</f>
        <v>952.5</v>
      </c>
      <c r="C23" s="213" t="s">
        <v>184</v>
      </c>
    </row>
    <row r="24" spans="1:9" x14ac:dyDescent="0.25">
      <c r="A24" s="208" t="s">
        <v>508</v>
      </c>
      <c r="B24" s="209">
        <f>B22*Elpris</f>
        <v>845.82</v>
      </c>
      <c r="C24" s="211" t="s">
        <v>168</v>
      </c>
    </row>
    <row r="25" spans="1:9" x14ac:dyDescent="0.25">
      <c r="A25" s="208" t="s">
        <v>528</v>
      </c>
      <c r="B25" s="209">
        <f>B23*Varmepris</f>
        <v>238.125</v>
      </c>
      <c r="C25" s="212" t="s">
        <v>168</v>
      </c>
    </row>
    <row r="26" spans="1:9" x14ac:dyDescent="0.25">
      <c r="A26" s="208" t="s">
        <v>525</v>
      </c>
      <c r="B26" s="209">
        <f>B24+B25</f>
        <v>1083.9450000000002</v>
      </c>
      <c r="C26" s="207" t="s">
        <v>168</v>
      </c>
    </row>
    <row r="27" spans="1:9" x14ac:dyDescent="0.25">
      <c r="A27" s="232" t="s">
        <v>460</v>
      </c>
      <c r="B27" s="233">
        <f>B26*UdbytVaadEng</f>
        <v>75442.572</v>
      </c>
      <c r="C27" s="229" t="s">
        <v>159</v>
      </c>
    </row>
    <row r="28" spans="1:9" x14ac:dyDescent="0.25">
      <c r="A28" s="199"/>
      <c r="B28" s="202"/>
      <c r="C28" s="214"/>
    </row>
    <row r="29" spans="1:9" x14ac:dyDescent="0.25">
      <c r="A29" s="232" t="s">
        <v>267</v>
      </c>
      <c r="B29" s="339">
        <f>B27+B17</f>
        <v>28849.486539750018</v>
      </c>
      <c r="C29" s="229" t="s">
        <v>159</v>
      </c>
    </row>
  </sheetData>
  <mergeCells count="2">
    <mergeCell ref="B3:C3"/>
    <mergeCell ref="B4:C4"/>
  </mergeCells>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TilbageTilIndtastning">
                <anchor moveWithCells="1" sizeWithCells="1">
                  <from>
                    <xdr:col>0</xdr:col>
                    <xdr:colOff>0</xdr:colOff>
                    <xdr:row>27</xdr:row>
                    <xdr:rowOff>123825</xdr:rowOff>
                  </from>
                  <to>
                    <xdr:col>0</xdr:col>
                    <xdr:colOff>0</xdr:colOff>
                    <xdr:row>29</xdr:row>
                    <xdr:rowOff>104775</xdr:rowOff>
                  </to>
                </anchor>
              </controlPr>
            </control>
          </mc:Choice>
        </mc:AlternateContent>
        <mc:AlternateContent xmlns:mc="http://schemas.openxmlformats.org/markup-compatibility/2006">
          <mc:Choice Requires="x14">
            <control shapeId="12290" r:id="rId5" name="Button 2">
              <controlPr defaultSize="0" print="0" autoFill="0" autoPict="0" macro="[0]!TilbageTilHovedmenu">
                <anchor moveWithCells="1" sizeWithCells="1">
                  <from>
                    <xdr:col>0</xdr:col>
                    <xdr:colOff>76200</xdr:colOff>
                    <xdr:row>29</xdr:row>
                    <xdr:rowOff>180975</xdr:rowOff>
                  </from>
                  <to>
                    <xdr:col>1</xdr:col>
                    <xdr:colOff>1104900</xdr:colOff>
                    <xdr:row>31</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N75"/>
  <sheetViews>
    <sheetView topLeftCell="A19" workbookViewId="0">
      <selection activeCell="B48" sqref="B48"/>
    </sheetView>
  </sheetViews>
  <sheetFormatPr defaultRowHeight="15" x14ac:dyDescent="0.25"/>
  <cols>
    <col min="1" max="1" width="30.42578125" style="15" customWidth="1"/>
    <col min="2" max="2" width="52.7109375" style="15" customWidth="1"/>
    <col min="3" max="5" width="9.140625" style="15"/>
    <col min="6" max="6" width="45.85546875" style="15" bestFit="1" customWidth="1"/>
    <col min="7" max="16384" width="9.140625" style="15"/>
  </cols>
  <sheetData>
    <row r="1" spans="1:14" ht="23.25" x14ac:dyDescent="0.35">
      <c r="A1" s="422" t="s">
        <v>530</v>
      </c>
      <c r="B1" s="423"/>
      <c r="C1" s="67"/>
      <c r="D1" s="67"/>
      <c r="E1" s="67"/>
      <c r="F1" s="67" t="s">
        <v>539</v>
      </c>
      <c r="G1" s="67"/>
      <c r="H1" s="67"/>
      <c r="I1" s="67"/>
      <c r="J1" s="67"/>
      <c r="K1" s="67"/>
      <c r="L1" s="67"/>
      <c r="M1" s="67"/>
      <c r="N1" s="67"/>
    </row>
    <row r="2" spans="1:14" x14ac:dyDescent="0.25">
      <c r="A2" s="284" t="str">
        <f>"Printet"</f>
        <v>Printet</v>
      </c>
      <c r="B2" s="424">
        <f ca="1">TODAY()</f>
        <v>41989</v>
      </c>
      <c r="C2" s="17"/>
      <c r="D2" s="17"/>
      <c r="E2" s="17"/>
      <c r="F2" s="17"/>
      <c r="G2" s="17"/>
      <c r="H2" s="17"/>
      <c r="I2" s="17"/>
      <c r="J2" s="17"/>
      <c r="K2" s="17"/>
      <c r="L2" s="17"/>
      <c r="M2" s="17"/>
      <c r="N2" s="17"/>
    </row>
    <row r="3" spans="1:14" x14ac:dyDescent="0.25">
      <c r="A3" s="270"/>
      <c r="B3" s="270"/>
      <c r="C3" s="34"/>
      <c r="D3" s="17"/>
      <c r="E3" s="17"/>
      <c r="F3" s="17"/>
      <c r="G3" s="17"/>
      <c r="H3" s="17"/>
      <c r="I3" s="17"/>
      <c r="J3" s="17"/>
      <c r="K3" s="17"/>
      <c r="L3" s="17"/>
      <c r="M3" s="17"/>
      <c r="N3" s="17"/>
    </row>
    <row r="4" spans="1:14" x14ac:dyDescent="0.25">
      <c r="A4" s="425" t="s">
        <v>531</v>
      </c>
      <c r="B4" s="270"/>
      <c r="C4" s="34"/>
      <c r="D4" s="17"/>
      <c r="E4" s="17"/>
      <c r="F4" s="17"/>
      <c r="G4" s="17"/>
      <c r="H4" s="17"/>
      <c r="I4" s="17"/>
      <c r="J4" s="17"/>
      <c r="K4" s="17"/>
      <c r="L4" s="17"/>
      <c r="M4" s="17"/>
      <c r="N4" s="17"/>
    </row>
    <row r="5" spans="1:14" x14ac:dyDescent="0.25">
      <c r="A5" s="270" t="s">
        <v>375</v>
      </c>
      <c r="B5" s="270" t="str">
        <f>'Results -straw'!B3:C3</f>
        <v>Extruded straw</v>
      </c>
      <c r="C5" s="34"/>
      <c r="D5" s="17"/>
      <c r="E5" s="17"/>
      <c r="F5" s="17"/>
      <c r="G5" s="17"/>
      <c r="H5" s="17"/>
      <c r="I5" s="17"/>
      <c r="J5" s="17"/>
      <c r="K5" s="17"/>
      <c r="L5" s="17"/>
      <c r="M5" s="17"/>
      <c r="N5" s="17"/>
    </row>
    <row r="6" spans="1:14" x14ac:dyDescent="0.25">
      <c r="A6" s="270" t="s">
        <v>532</v>
      </c>
      <c r="B6" s="270" t="str">
        <f>AfstandLager&amp;" km using tractor &amp; trailer &amp; frontloader"</f>
        <v>0,5 km using tractor &amp; trailer &amp; frontloader</v>
      </c>
      <c r="C6" s="34"/>
      <c r="D6" s="17"/>
      <c r="E6" s="17"/>
      <c r="F6" s="17"/>
      <c r="G6" s="17"/>
      <c r="H6" s="17"/>
      <c r="I6" s="17"/>
      <c r="J6" s="17"/>
      <c r="K6" s="17"/>
      <c r="L6" s="17"/>
      <c r="M6" s="17"/>
      <c r="N6" s="17"/>
    </row>
    <row r="7" spans="1:14" x14ac:dyDescent="0.25">
      <c r="A7" s="270" t="s">
        <v>369</v>
      </c>
      <c r="B7" s="270" t="str">
        <f>AfstandAnlæg&amp;" km using "&amp;Straw!A36</f>
        <v>20 km using Tractor &amp; trailer</v>
      </c>
      <c r="C7" s="34"/>
      <c r="D7" s="17"/>
      <c r="E7" s="17"/>
      <c r="F7" s="17"/>
      <c r="G7" s="17"/>
      <c r="H7" s="17"/>
      <c r="I7" s="17"/>
      <c r="J7" s="17"/>
      <c r="K7" s="17"/>
      <c r="L7" s="17"/>
      <c r="M7" s="17"/>
      <c r="N7" s="17"/>
    </row>
    <row r="8" spans="1:14" x14ac:dyDescent="0.25">
      <c r="A8" s="270" t="s">
        <v>496</v>
      </c>
      <c r="B8" s="270" t="str">
        <f>Straw!A29&amp;" at farmer and "&amp;Straw!A44&amp;" at facility"</f>
        <v>Telescopic loader at farmer and Telescopic loader at facility</v>
      </c>
      <c r="C8" s="34"/>
      <c r="D8" s="17"/>
      <c r="E8" s="17"/>
      <c r="F8" s="17"/>
      <c r="G8" s="17"/>
      <c r="H8" s="17"/>
      <c r="I8" s="17"/>
      <c r="J8" s="17"/>
      <c r="K8" s="17"/>
      <c r="L8" s="17"/>
      <c r="M8" s="17"/>
      <c r="N8" s="17"/>
    </row>
    <row r="9" spans="1:14" x14ac:dyDescent="0.25">
      <c r="A9" s="270" t="s">
        <v>386</v>
      </c>
      <c r="B9" s="447" t="s">
        <v>280</v>
      </c>
      <c r="C9" s="34"/>
      <c r="D9" s="17"/>
      <c r="E9" s="17"/>
      <c r="F9" s="17"/>
      <c r="G9" s="17"/>
      <c r="H9" s="17"/>
      <c r="I9" s="17"/>
      <c r="J9" s="17"/>
      <c r="K9" s="17"/>
      <c r="L9" s="17"/>
      <c r="M9" s="17"/>
      <c r="N9" s="17"/>
    </row>
    <row r="10" spans="1:14" x14ac:dyDescent="0.25">
      <c r="A10" s="270"/>
      <c r="B10" s="270"/>
      <c r="C10" s="34"/>
      <c r="D10" s="17"/>
      <c r="E10" s="17"/>
      <c r="F10" s="17"/>
      <c r="G10" s="17"/>
      <c r="H10" s="17"/>
      <c r="I10" s="17"/>
      <c r="J10" s="17"/>
      <c r="K10" s="17"/>
      <c r="L10" s="17"/>
      <c r="M10" s="17"/>
      <c r="N10" s="17"/>
    </row>
    <row r="11" spans="1:14" x14ac:dyDescent="0.25">
      <c r="A11" s="425" t="s">
        <v>351</v>
      </c>
      <c r="B11" s="270"/>
      <c r="C11" s="34"/>
      <c r="D11" s="17"/>
      <c r="E11" s="17"/>
      <c r="F11" s="17"/>
      <c r="G11" s="17"/>
      <c r="H11" s="17"/>
      <c r="I11" s="17"/>
      <c r="J11" s="17"/>
      <c r="K11" s="17"/>
      <c r="L11" s="17"/>
      <c r="M11" s="17"/>
      <c r="N11" s="17"/>
    </row>
    <row r="12" spans="1:14" x14ac:dyDescent="0.25">
      <c r="A12" s="270" t="s">
        <v>351</v>
      </c>
      <c r="B12" s="270" t="str">
        <f>UDBYTTE_PR_HA&amp;" Ton/ha."</f>
        <v>3,38 Ton/ha.</v>
      </c>
      <c r="C12" s="34"/>
      <c r="D12" s="17"/>
      <c r="E12" s="17"/>
      <c r="F12" s="17"/>
      <c r="G12" s="17"/>
      <c r="H12" s="17"/>
      <c r="I12" s="17"/>
      <c r="J12" s="17"/>
      <c r="K12" s="17"/>
      <c r="L12" s="17"/>
      <c r="M12" s="17"/>
      <c r="N12" s="17"/>
    </row>
    <row r="13" spans="1:14" x14ac:dyDescent="0.25">
      <c r="A13" s="270" t="s">
        <v>354</v>
      </c>
      <c r="B13" s="426">
        <f>Straw!C7</f>
        <v>0.89</v>
      </c>
      <c r="C13" s="34"/>
      <c r="D13" s="17"/>
      <c r="E13" s="17"/>
      <c r="F13" s="17"/>
      <c r="G13" s="17"/>
      <c r="H13" s="17"/>
      <c r="I13" s="17"/>
      <c r="J13" s="17"/>
      <c r="K13" s="17"/>
      <c r="L13" s="17"/>
      <c r="M13" s="17"/>
      <c r="N13" s="17"/>
    </row>
    <row r="14" spans="1:14" x14ac:dyDescent="0.25">
      <c r="A14" s="270" t="s">
        <v>533</v>
      </c>
      <c r="B14" s="426">
        <f>Straw!C7-VS</f>
        <v>3.0000000000000027E-2</v>
      </c>
      <c r="C14" s="34"/>
      <c r="D14" s="17"/>
      <c r="E14" s="17"/>
      <c r="F14" s="17"/>
      <c r="G14" s="17"/>
      <c r="H14" s="17"/>
      <c r="I14" s="17"/>
      <c r="J14" s="17"/>
      <c r="K14" s="17"/>
      <c r="L14" s="17"/>
      <c r="M14" s="17"/>
      <c r="N14" s="17"/>
    </row>
    <row r="15" spans="1:14" x14ac:dyDescent="0.25">
      <c r="A15" s="270" t="s">
        <v>534</v>
      </c>
      <c r="B15" s="292" t="str">
        <f>VLOOKUP(Treatment,Tabeller!H19:J21,3)&amp;" L CH4/kgVS"</f>
        <v>277 L CH4/kgVS</v>
      </c>
      <c r="C15" s="34"/>
      <c r="D15" s="17"/>
      <c r="E15" s="17"/>
      <c r="F15" s="17"/>
      <c r="G15" s="17"/>
      <c r="H15" s="17"/>
      <c r="I15" s="17"/>
      <c r="J15" s="17"/>
      <c r="K15" s="17"/>
      <c r="L15" s="17"/>
      <c r="M15" s="17"/>
      <c r="N15" s="17"/>
    </row>
    <row r="16" spans="1:14" x14ac:dyDescent="0.25">
      <c r="A16" s="270" t="s">
        <v>535</v>
      </c>
      <c r="B16" s="347" t="str">
        <f>_xlfn.FLOOR.PRECISE(VLOOKUP(Treatment,Tabeller!H19:J21,3)*VS*UDBYTTE_PR_HA,1)&amp;" m3 CH4/ha."</f>
        <v>805 m3 CH4/ha.</v>
      </c>
      <c r="C16" s="34"/>
      <c r="D16" s="17"/>
      <c r="E16" s="17"/>
      <c r="F16" s="69"/>
      <c r="G16" s="17"/>
      <c r="H16" s="17"/>
      <c r="I16" s="17"/>
      <c r="J16" s="17"/>
      <c r="K16" s="17"/>
      <c r="L16" s="17"/>
      <c r="M16" s="17"/>
      <c r="N16" s="17"/>
    </row>
    <row r="17" spans="1:14" x14ac:dyDescent="0.25">
      <c r="A17" s="270"/>
      <c r="B17" s="270"/>
      <c r="C17" s="34"/>
      <c r="D17" s="17"/>
      <c r="E17" s="17"/>
      <c r="F17" s="70"/>
      <c r="G17" s="17"/>
      <c r="H17" s="17"/>
      <c r="I17" s="17"/>
      <c r="J17" s="17"/>
      <c r="K17" s="17"/>
      <c r="L17" s="17"/>
      <c r="M17" s="17"/>
      <c r="N17" s="17"/>
    </row>
    <row r="18" spans="1:14" x14ac:dyDescent="0.25">
      <c r="A18" s="425" t="s">
        <v>386</v>
      </c>
      <c r="B18" s="270"/>
      <c r="C18" s="34"/>
      <c r="D18" s="17"/>
      <c r="E18" s="17"/>
      <c r="F18" s="70"/>
      <c r="G18" s="17"/>
      <c r="H18" s="17"/>
      <c r="I18" s="17"/>
      <c r="J18" s="17"/>
      <c r="K18" s="17"/>
      <c r="L18" s="17"/>
      <c r="M18" s="17"/>
      <c r="N18" s="17"/>
    </row>
    <row r="19" spans="1:14" x14ac:dyDescent="0.25">
      <c r="A19" s="270" t="s">
        <v>536</v>
      </c>
      <c r="B19" s="270" t="str">
        <f>Straw!I5&amp;" m3 bales or "&amp;_xlfn.FLOOR.PRECISE(Straw!I6,1)&amp;" m3 briquettes"</f>
        <v>4225 m3 bales or 1502 m3 briquettes</v>
      </c>
      <c r="C19" s="34"/>
      <c r="D19" s="17"/>
      <c r="E19" s="17"/>
      <c r="F19" s="70"/>
      <c r="G19" s="17"/>
      <c r="H19" s="17"/>
      <c r="I19" s="17"/>
      <c r="J19" s="17"/>
      <c r="K19" s="17"/>
      <c r="L19" s="17"/>
      <c r="M19" s="17"/>
      <c r="N19" s="17"/>
    </row>
    <row r="20" spans="1:14" x14ac:dyDescent="0.25">
      <c r="A20" s="270" t="s">
        <v>394</v>
      </c>
      <c r="B20" s="270" t="str">
        <f>IF(Straw!K17&gt;0,VLOOKUP(Straw!$AN$1,Tabeller!H4:I7,2)&amp;" , "&amp;VLOOKUP(Straw!$AN$1,Tabeller!H4:M7,6)&amp;" m3","")&amp;IF(Straw!$K$19&gt;0," og "&amp;VLOOKUP(Straw!$AN$2,Tabeller!H4:I7,2)&amp;" , "&amp;VLOOKUP(Straw!$AN$2,Tabeller!H4:M7,6)&amp;" m3","")&amp;IF(Straw!K21&gt;0," og "&amp;VLOOKUP(Straw!$AN$3,Tabeller!H4:I7,2)&amp;" , "&amp;VLOOKUP(Straw!$AN$3,Tabeller!H4:M7,6)&amp;" m3","")&amp;IF(Straw!K23&gt;0," og "&amp;VLOOKUP(Straw!$AN$4,Tabeller!H4:I7,2)&amp;" , "&amp;VLOOKUP(Straw!$AN$4,Tabeller!H4:M7,6)&amp;" m3","")</f>
        <v>Open barn , 5000 m3</v>
      </c>
      <c r="C20" s="34"/>
      <c r="D20" s="17"/>
      <c r="E20" s="17"/>
      <c r="F20" s="69"/>
      <c r="G20" s="17"/>
      <c r="H20" s="17"/>
      <c r="I20" s="17"/>
      <c r="J20" s="17"/>
      <c r="K20" s="17"/>
      <c r="L20" s="17"/>
      <c r="M20" s="17"/>
      <c r="N20" s="17"/>
    </row>
    <row r="21" spans="1:14" x14ac:dyDescent="0.25">
      <c r="A21" s="270"/>
      <c r="B21" s="427" t="str">
        <f>IF(Straw!M17+Straw!M19+Straw!M21+Straw!M23&gt;0,"Bemærk: Lagrene fyldes delvis med andet end halm","")</f>
        <v/>
      </c>
      <c r="C21" s="34"/>
      <c r="D21" s="17"/>
      <c r="E21" s="17"/>
      <c r="F21" s="69"/>
      <c r="G21" s="17"/>
      <c r="H21" s="17"/>
      <c r="I21" s="17"/>
      <c r="J21" s="17"/>
      <c r="K21" s="17"/>
      <c r="L21" s="17"/>
      <c r="M21" s="17"/>
      <c r="N21" s="17"/>
    </row>
    <row r="22" spans="1:14" x14ac:dyDescent="0.25">
      <c r="A22" s="270" t="s">
        <v>461</v>
      </c>
      <c r="B22" s="270" t="str">
        <f>IF(Straw!K30&gt;0,VLOOKUP(Straw!$AN$5,Tabeller!H4:I7,2)&amp;" , "&amp;VLOOKUP(Straw!$AN$5,Tabeller!H4:M7,6)&amp;" m3","")&amp;IF(Straw!K32&gt;0," and "&amp;VLOOKUP(Straw!$AN$6,Tabeller!H4:I7,2)&amp;" , "&amp;VLOOKUP(Straw!$AN$6,Tabeller!H4:M7,6)&amp;" m3","")&amp;IF(Straw!K34&gt;0," and "&amp;VLOOKUP(Straw!$AN$7,Tabeller!H4:I7,2)&amp;" , "&amp;VLOOKUP(Straw!$AN$7,Tabeller!H4:M7,6)&amp;" m3","")&amp;IF(Straw!K36&gt;0," og "&amp;VLOOKUP(Straw!$AN$8,Tabeller!H4:I7,2)&amp;" , "&amp;VLOOKUP(Straw!$AN$8,Tabeller!H4:M7,6)&amp;" m3","")</f>
        <v>Barn, concrete floor , 5000 m3</v>
      </c>
      <c r="C22" s="34"/>
      <c r="D22" s="17"/>
      <c r="E22" s="17"/>
      <c r="F22" s="69"/>
      <c r="G22" s="17"/>
      <c r="H22" s="17"/>
      <c r="I22" s="17"/>
      <c r="J22" s="17"/>
      <c r="K22" s="17"/>
      <c r="L22" s="17"/>
      <c r="M22" s="17"/>
      <c r="N22" s="17"/>
    </row>
    <row r="23" spans="1:14" x14ac:dyDescent="0.25">
      <c r="A23" s="270"/>
      <c r="B23" s="427" t="str">
        <f>IF(SUM(Straw!M30:M36)&gt;0,"Note: Storage facility is used for other purpuses as well","")</f>
        <v>Note: Storage facility is used for other purpuses as well</v>
      </c>
      <c r="C23" s="34"/>
      <c r="D23" s="17"/>
      <c r="E23" s="17"/>
      <c r="F23" s="69"/>
      <c r="G23" s="17"/>
      <c r="H23" s="17"/>
      <c r="I23" s="17"/>
      <c r="J23" s="17"/>
      <c r="K23" s="17"/>
      <c r="L23" s="17"/>
      <c r="M23" s="17"/>
      <c r="N23" s="17"/>
    </row>
    <row r="24" spans="1:14" x14ac:dyDescent="0.25">
      <c r="A24" s="270"/>
      <c r="B24" s="283"/>
      <c r="C24" s="34"/>
      <c r="D24" s="17"/>
      <c r="E24" s="17"/>
      <c r="F24" s="69"/>
      <c r="G24" s="17"/>
      <c r="H24" s="17"/>
      <c r="I24" s="17"/>
      <c r="J24" s="17"/>
      <c r="K24" s="17"/>
      <c r="L24" s="17"/>
      <c r="M24" s="17"/>
      <c r="N24" s="17"/>
    </row>
    <row r="25" spans="1:14" x14ac:dyDescent="0.25">
      <c r="A25" s="425" t="s">
        <v>443</v>
      </c>
      <c r="B25" s="283"/>
      <c r="C25" s="34"/>
      <c r="D25" s="17"/>
      <c r="E25" s="17"/>
      <c r="F25" s="69"/>
      <c r="G25" s="17"/>
      <c r="H25" s="17"/>
      <c r="I25" s="17"/>
      <c r="J25" s="17"/>
      <c r="K25" s="17"/>
      <c r="L25" s="17"/>
      <c r="M25" s="17"/>
      <c r="N25" s="17"/>
    </row>
    <row r="26" spans="1:14" x14ac:dyDescent="0.25">
      <c r="A26" s="270" t="str">
        <f>IF(Treatment=1,"Extruding",(IF(Treatment=2,"Briquetting",(IF(Treatment=3,"none")))))</f>
        <v>Extruding</v>
      </c>
      <c r="B26" s="270"/>
      <c r="C26" s="34"/>
      <c r="D26" s="17"/>
      <c r="E26" s="17"/>
      <c r="F26" s="69"/>
      <c r="G26" s="17"/>
      <c r="H26" s="17"/>
      <c r="I26" s="17"/>
      <c r="J26" s="17"/>
      <c r="K26" s="17"/>
      <c r="L26" s="17"/>
      <c r="M26" s="17"/>
      <c r="N26" s="17"/>
    </row>
    <row r="27" spans="1:14" x14ac:dyDescent="0.25">
      <c r="A27" s="270" t="str">
        <f>IF(Treatment=3,"","Yearly cost")</f>
        <v>Yearly cost</v>
      </c>
      <c r="B27" s="428">
        <f>IF(Treatment=1,Ex_Ydelse,(IF(Treatment=2,Br_Ydelse,(IF(Treatment=3,"")))))</f>
        <v>-729672.72786868934</v>
      </c>
      <c r="C27" s="34"/>
      <c r="D27" s="17"/>
      <c r="E27" s="17"/>
      <c r="F27" s="69"/>
      <c r="G27" s="17"/>
      <c r="H27" s="17"/>
      <c r="I27" s="17"/>
      <c r="J27" s="17"/>
      <c r="K27" s="17"/>
      <c r="L27" s="17"/>
      <c r="M27" s="17"/>
      <c r="N27" s="17"/>
    </row>
    <row r="28" spans="1:14" x14ac:dyDescent="0.25">
      <c r="A28" s="270" t="str">
        <f>IF(Treatment=3,"","Cost paid by straw")</f>
        <v>Cost paid by straw</v>
      </c>
      <c r="B28" s="347" t="str">
        <f>IF(Treatment=3,"",_xlfn.FLOOR.PRECISE(Straw!C67,1)&amp;" % (straw) and "&amp;_xlfn.FLOOR.PRECISE(Straw!C68)&amp;" % (other usage)")</f>
        <v>6 % (straw) and 80 % (other usage)</v>
      </c>
      <c r="C28" s="34"/>
      <c r="D28" s="17"/>
      <c r="E28" s="17"/>
      <c r="F28" s="69"/>
      <c r="G28" s="17"/>
      <c r="H28" s="17"/>
      <c r="I28" s="17"/>
      <c r="J28" s="17"/>
      <c r="K28" s="17"/>
      <c r="L28" s="17"/>
      <c r="M28" s="17"/>
      <c r="N28" s="17"/>
    </row>
    <row r="29" spans="1:14" x14ac:dyDescent="0.25">
      <c r="A29" s="270"/>
      <c r="B29" s="270"/>
      <c r="C29" s="34"/>
      <c r="D29" s="17"/>
      <c r="E29" s="17"/>
      <c r="F29" s="69"/>
      <c r="G29" s="17"/>
      <c r="H29" s="17"/>
      <c r="I29" s="17"/>
      <c r="J29" s="17"/>
      <c r="K29" s="17"/>
      <c r="L29" s="17"/>
      <c r="M29" s="17"/>
      <c r="N29" s="17"/>
    </row>
    <row r="30" spans="1:14" x14ac:dyDescent="0.25">
      <c r="A30" s="270"/>
      <c r="B30" s="270"/>
      <c r="C30" s="34"/>
      <c r="D30" s="17"/>
      <c r="E30" s="17"/>
      <c r="F30" s="69"/>
      <c r="G30" s="17"/>
      <c r="H30" s="17"/>
      <c r="I30" s="17"/>
      <c r="J30" s="17"/>
      <c r="K30" s="17"/>
      <c r="L30" s="17"/>
      <c r="M30" s="17"/>
      <c r="N30" s="17"/>
    </row>
    <row r="31" spans="1:14" x14ac:dyDescent="0.25">
      <c r="A31" s="425" t="s">
        <v>537</v>
      </c>
      <c r="B31" s="270"/>
      <c r="C31" s="34"/>
      <c r="D31" s="17"/>
      <c r="E31" s="17"/>
      <c r="F31" s="17"/>
      <c r="G31" s="17"/>
      <c r="H31" s="17"/>
      <c r="I31" s="17"/>
      <c r="J31" s="17"/>
      <c r="K31" s="17"/>
      <c r="L31" s="17"/>
      <c r="M31" s="17"/>
      <c r="N31" s="17"/>
    </row>
    <row r="32" spans="1:14" x14ac:dyDescent="0.25">
      <c r="A32" s="270" t="s">
        <v>538</v>
      </c>
      <c r="B32" s="429">
        <f>_xlfn.FLOOR.PRECISE('Results -straw'!B27,1)</f>
        <v>-534681</v>
      </c>
      <c r="C32" s="34"/>
      <c r="D32" s="17"/>
      <c r="E32" s="17"/>
      <c r="F32" s="17"/>
      <c r="G32" s="17"/>
      <c r="H32" s="17"/>
      <c r="I32" s="17"/>
      <c r="J32" s="17"/>
      <c r="K32" s="17"/>
      <c r="L32" s="17"/>
      <c r="M32" s="17"/>
      <c r="N32" s="17"/>
    </row>
    <row r="33" spans="1:14" x14ac:dyDescent="0.25">
      <c r="A33" s="270" t="s">
        <v>516</v>
      </c>
      <c r="B33" s="429">
        <f>_xlfn.FLOOR.PRECISE('Results -straw'!B37,1)</f>
        <v>916298</v>
      </c>
      <c r="C33" s="34"/>
      <c r="D33" s="17"/>
      <c r="E33" s="17"/>
      <c r="F33" s="69"/>
      <c r="G33" s="17"/>
      <c r="H33" s="17"/>
      <c r="I33" s="17"/>
      <c r="J33" s="17"/>
      <c r="K33" s="17"/>
      <c r="L33" s="17"/>
      <c r="M33" s="17"/>
      <c r="N33" s="17"/>
    </row>
    <row r="34" spans="1:14" ht="15.75" thickBot="1" x14ac:dyDescent="0.3">
      <c r="A34" s="270" t="s">
        <v>267</v>
      </c>
      <c r="B34" s="445">
        <f>_xlfn.FLOOR.PRECISE('Results -straw'!B39,1)</f>
        <v>381618</v>
      </c>
      <c r="C34" s="34"/>
      <c r="D34" s="17"/>
      <c r="E34" s="17"/>
      <c r="F34" s="69"/>
      <c r="G34" s="17"/>
      <c r="H34" s="17"/>
      <c r="I34" s="17"/>
      <c r="J34" s="17"/>
      <c r="K34" s="17"/>
      <c r="L34" s="17"/>
      <c r="M34" s="17"/>
      <c r="N34" s="17"/>
    </row>
    <row r="35" spans="1:14" ht="15.75" thickTop="1" x14ac:dyDescent="0.25">
      <c r="A35" s="284"/>
      <c r="B35" s="284"/>
      <c r="C35" s="17"/>
      <c r="D35" s="17"/>
      <c r="E35" s="17"/>
      <c r="F35" s="69"/>
      <c r="G35" s="17"/>
      <c r="H35" s="17"/>
      <c r="I35" s="17"/>
      <c r="J35" s="17"/>
      <c r="K35" s="17"/>
      <c r="L35" s="17"/>
      <c r="M35" s="17"/>
      <c r="N35" s="17"/>
    </row>
    <row r="36" spans="1:14" x14ac:dyDescent="0.25">
      <c r="A36" s="430"/>
      <c r="B36" s="284"/>
      <c r="C36" s="17"/>
      <c r="D36" s="17"/>
      <c r="E36" s="17"/>
      <c r="F36" s="71"/>
      <c r="G36" s="68"/>
      <c r="H36" s="17"/>
      <c r="I36" s="71"/>
      <c r="J36" s="68"/>
      <c r="K36" s="17"/>
      <c r="L36" s="17"/>
      <c r="M36" s="17"/>
      <c r="N36" s="17"/>
    </row>
    <row r="37" spans="1:14" x14ac:dyDescent="0.25">
      <c r="A37" s="284"/>
      <c r="B37" s="284"/>
      <c r="C37" s="17"/>
      <c r="D37" s="17"/>
      <c r="E37" s="17"/>
      <c r="F37" s="69"/>
      <c r="G37" s="17"/>
      <c r="H37" s="17"/>
      <c r="I37" s="17"/>
      <c r="J37" s="17"/>
      <c r="K37" s="17"/>
      <c r="L37" s="17"/>
      <c r="M37" s="17"/>
      <c r="N37" s="17"/>
    </row>
    <row r="38" spans="1:14" x14ac:dyDescent="0.25">
      <c r="A38" s="430"/>
      <c r="B38" s="284"/>
      <c r="C38" s="17"/>
      <c r="D38" s="17"/>
      <c r="E38" s="17"/>
      <c r="F38" s="71"/>
      <c r="G38" s="68"/>
      <c r="H38" s="17"/>
      <c r="I38" s="71"/>
      <c r="J38" s="68"/>
      <c r="K38" s="17"/>
      <c r="L38" s="17"/>
      <c r="M38" s="17"/>
      <c r="N38" s="17"/>
    </row>
    <row r="39" spans="1:14" x14ac:dyDescent="0.25">
      <c r="A39" s="284"/>
      <c r="B39" s="284"/>
      <c r="C39" s="17"/>
      <c r="D39" s="17"/>
      <c r="E39" s="17"/>
      <c r="F39" s="17"/>
      <c r="G39" s="17"/>
      <c r="H39" s="17"/>
      <c r="I39" s="17"/>
      <c r="J39" s="17"/>
      <c r="K39" s="17"/>
      <c r="L39" s="17"/>
      <c r="M39" s="17"/>
      <c r="N39" s="17"/>
    </row>
    <row r="40" spans="1:14" ht="23.25" x14ac:dyDescent="0.35">
      <c r="A40" s="422" t="s">
        <v>288</v>
      </c>
      <c r="B40" s="284"/>
      <c r="C40" s="17"/>
      <c r="D40" s="17"/>
      <c r="E40" s="17"/>
      <c r="F40" s="69"/>
      <c r="G40" s="17"/>
      <c r="H40" s="17"/>
      <c r="I40" s="17"/>
      <c r="J40" s="17"/>
      <c r="K40" s="17"/>
      <c r="L40" s="17"/>
      <c r="M40" s="17"/>
      <c r="N40" s="17"/>
    </row>
    <row r="41" spans="1:14" x14ac:dyDescent="0.25">
      <c r="A41" s="284"/>
      <c r="B41" s="284"/>
      <c r="C41" s="17"/>
      <c r="D41" s="17"/>
      <c r="E41" s="17"/>
      <c r="F41" s="69"/>
      <c r="G41" s="17"/>
      <c r="H41" s="17"/>
      <c r="I41" s="17"/>
      <c r="J41" s="17"/>
      <c r="K41" s="17"/>
      <c r="L41" s="17"/>
      <c r="M41" s="17"/>
      <c r="N41" s="17"/>
    </row>
    <row r="42" spans="1:14" x14ac:dyDescent="0.25">
      <c r="A42" s="430"/>
      <c r="B42" s="284"/>
      <c r="C42" s="17"/>
      <c r="D42" s="17"/>
      <c r="E42" s="17"/>
      <c r="F42" s="71"/>
      <c r="G42" s="68"/>
      <c r="H42" s="17"/>
      <c r="I42" s="71"/>
      <c r="J42" s="68"/>
      <c r="K42" s="17"/>
      <c r="L42" s="17"/>
      <c r="M42" s="17"/>
      <c r="N42" s="17"/>
    </row>
    <row r="43" spans="1:14" x14ac:dyDescent="0.25">
      <c r="A43" s="430" t="s">
        <v>155</v>
      </c>
      <c r="B43" s="284"/>
      <c r="C43" s="17"/>
      <c r="D43" s="17"/>
      <c r="E43" s="17"/>
      <c r="F43" s="68"/>
      <c r="G43" s="17"/>
      <c r="H43" s="17"/>
      <c r="I43" s="17"/>
      <c r="J43" s="17"/>
      <c r="K43" s="17"/>
      <c r="L43" s="17"/>
      <c r="M43" s="17"/>
      <c r="N43" s="17"/>
    </row>
    <row r="44" spans="1:14" x14ac:dyDescent="0.25">
      <c r="A44" s="284" t="s">
        <v>274</v>
      </c>
      <c r="B44" s="284" t="s">
        <v>289</v>
      </c>
      <c r="C44" s="17"/>
      <c r="D44" s="17"/>
      <c r="E44" s="17"/>
      <c r="F44" s="71"/>
      <c r="G44" s="68"/>
      <c r="H44" s="17"/>
      <c r="I44" s="71"/>
      <c r="J44" s="68"/>
      <c r="K44" s="17"/>
      <c r="L44" s="17"/>
      <c r="M44" s="17"/>
      <c r="N44" s="17"/>
    </row>
    <row r="45" spans="1:14" x14ac:dyDescent="0.25">
      <c r="A45" s="284" t="s">
        <v>160</v>
      </c>
      <c r="B45" s="284" t="str">
        <f>MarktilPresse&amp;" km med Traktor med halmvogn og frontlæsser"</f>
        <v>17 km med Traktor med halmvogn og frontlæsser</v>
      </c>
      <c r="C45" s="17"/>
      <c r="D45" s="17"/>
      <c r="E45" s="17"/>
      <c r="F45" s="68"/>
      <c r="G45" s="17"/>
      <c r="H45" s="17"/>
      <c r="I45" s="17"/>
      <c r="J45" s="17"/>
      <c r="K45" s="17"/>
      <c r="L45" s="17"/>
      <c r="M45" s="17"/>
      <c r="N45" s="17"/>
    </row>
    <row r="46" spans="1:14" x14ac:dyDescent="0.25">
      <c r="A46" s="284" t="s">
        <v>62</v>
      </c>
      <c r="B46" s="284" t="str">
        <f>BrAfstand&amp;" km med "&amp;VLOOKUP(Straw!AL7,Tabeller!$H$13:$K$15,2)</f>
        <v>100 km med Large dump truck</v>
      </c>
      <c r="C46" s="17"/>
      <c r="D46" s="17"/>
      <c r="E46" s="17"/>
      <c r="F46" s="17"/>
      <c r="G46" s="17"/>
      <c r="H46" s="17"/>
      <c r="I46" s="71"/>
      <c r="J46" s="68"/>
      <c r="K46" s="17"/>
      <c r="L46" s="17"/>
      <c r="M46" s="17"/>
      <c r="N46" s="17"/>
    </row>
    <row r="47" spans="1:14" x14ac:dyDescent="0.25">
      <c r="A47" s="284" t="s">
        <v>275</v>
      </c>
      <c r="B47" s="284" t="str">
        <f>Straw!A29&amp;" hos landmand og "&amp;Straw!Y8&amp;" på anlæg"</f>
        <v>Telescopic loader hos landmand og Telescopic loader på anlæg</v>
      </c>
      <c r="C47" s="17"/>
      <c r="D47" s="17"/>
      <c r="E47" s="17"/>
      <c r="F47" s="68"/>
      <c r="G47" s="17"/>
      <c r="H47" s="17"/>
      <c r="I47" s="17"/>
      <c r="J47" s="17"/>
      <c r="K47" s="17"/>
      <c r="L47" s="17"/>
      <c r="M47" s="17"/>
      <c r="N47" s="17"/>
    </row>
    <row r="48" spans="1:14" x14ac:dyDescent="0.25">
      <c r="A48" s="284" t="s">
        <v>278</v>
      </c>
      <c r="B48" s="284" t="s">
        <v>280</v>
      </c>
      <c r="C48" s="17"/>
      <c r="D48" s="17"/>
      <c r="E48" s="17"/>
      <c r="F48" s="17"/>
      <c r="G48" s="17"/>
      <c r="H48" s="17"/>
      <c r="I48" s="17"/>
      <c r="J48" s="17"/>
      <c r="K48" s="17"/>
      <c r="L48" s="17"/>
      <c r="M48" s="17"/>
      <c r="N48" s="17"/>
    </row>
    <row r="49" spans="1:14" x14ac:dyDescent="0.25">
      <c r="A49" s="284"/>
      <c r="B49" s="284"/>
      <c r="C49" s="17"/>
      <c r="D49" s="17"/>
      <c r="E49" s="17"/>
      <c r="F49" s="17"/>
      <c r="G49" s="17"/>
      <c r="H49" s="17"/>
      <c r="I49" s="17"/>
      <c r="J49" s="17"/>
      <c r="K49" s="17"/>
      <c r="L49" s="17"/>
      <c r="M49" s="17"/>
      <c r="N49" s="17"/>
    </row>
    <row r="50" spans="1:14" x14ac:dyDescent="0.25">
      <c r="A50" s="430" t="s">
        <v>156</v>
      </c>
      <c r="B50" s="284"/>
      <c r="C50" s="17"/>
      <c r="D50" s="68"/>
      <c r="E50" s="68"/>
      <c r="F50" s="72"/>
      <c r="G50" s="68"/>
      <c r="H50" s="68"/>
      <c r="I50" s="17"/>
      <c r="J50" s="17"/>
      <c r="K50" s="17"/>
      <c r="L50" s="17"/>
      <c r="M50" s="17"/>
      <c r="N50" s="17"/>
    </row>
    <row r="51" spans="1:14" x14ac:dyDescent="0.25">
      <c r="A51" s="284" t="s">
        <v>156</v>
      </c>
      <c r="B51" s="284" t="str">
        <f>UDBYTTE_PR_HA&amp;" Ton/ha."</f>
        <v>3,38 Ton/ha.</v>
      </c>
      <c r="C51" s="17"/>
      <c r="D51" s="69"/>
      <c r="E51" s="17"/>
      <c r="F51" s="69"/>
      <c r="G51" s="17"/>
      <c r="H51" s="69"/>
      <c r="I51" s="66"/>
      <c r="J51" s="17"/>
      <c r="K51" s="17"/>
      <c r="L51" s="17"/>
      <c r="M51" s="17"/>
      <c r="N51" s="17"/>
    </row>
    <row r="52" spans="1:14" x14ac:dyDescent="0.25">
      <c r="A52" s="284" t="s">
        <v>157</v>
      </c>
      <c r="B52" s="431">
        <f>B13</f>
        <v>0.89</v>
      </c>
      <c r="C52" s="17"/>
      <c r="D52" s="69"/>
      <c r="E52" s="17"/>
      <c r="F52" s="69"/>
      <c r="G52" s="17"/>
      <c r="H52" s="69"/>
      <c r="I52" s="66"/>
      <c r="J52" s="17"/>
      <c r="K52" s="17"/>
      <c r="L52" s="17"/>
      <c r="M52" s="17"/>
      <c r="N52" s="17"/>
    </row>
    <row r="53" spans="1:14" x14ac:dyDescent="0.25">
      <c r="A53" s="284" t="s">
        <v>276</v>
      </c>
      <c r="B53" s="431">
        <f>B14</f>
        <v>3.0000000000000027E-2</v>
      </c>
      <c r="C53" s="17"/>
      <c r="D53" s="73"/>
      <c r="E53" s="17"/>
      <c r="F53" s="73"/>
      <c r="G53" s="17"/>
      <c r="H53" s="73"/>
      <c r="I53" s="66"/>
      <c r="J53" s="17"/>
      <c r="K53" s="17"/>
      <c r="L53" s="17"/>
      <c r="M53" s="17"/>
      <c r="N53" s="17"/>
    </row>
    <row r="54" spans="1:14" x14ac:dyDescent="0.25">
      <c r="A54" s="284" t="s">
        <v>277</v>
      </c>
      <c r="B54" s="432">
        <f>MetanBr</f>
        <v>277</v>
      </c>
    </row>
    <row r="55" spans="1:14" x14ac:dyDescent="0.25">
      <c r="A55" s="284" t="s">
        <v>158</v>
      </c>
      <c r="B55" s="284" t="str">
        <f>_xlfn.FLOOR.PRECISE(B54*VS*UDBYTTE_PR_HA,1)&amp;" m3 CH4/ha."</f>
        <v>805 m3 CH4/ha.</v>
      </c>
    </row>
    <row r="56" spans="1:14" x14ac:dyDescent="0.25">
      <c r="A56" s="284"/>
      <c r="B56" s="284"/>
    </row>
    <row r="57" spans="1:14" x14ac:dyDescent="0.25">
      <c r="A57" s="430" t="s">
        <v>154</v>
      </c>
      <c r="B57" s="284"/>
    </row>
    <row r="58" spans="1:14" x14ac:dyDescent="0.25">
      <c r="A58" s="284" t="s">
        <v>281</v>
      </c>
      <c r="B58" s="284" t="str">
        <f>B19</f>
        <v>4225 m3 bales or 1502 m3 briquettes</v>
      </c>
    </row>
    <row r="59" spans="1:14" x14ac:dyDescent="0.25">
      <c r="A59" s="284" t="s">
        <v>282</v>
      </c>
      <c r="B59" s="284" t="str">
        <f>IF(Straw!$AB$31&gt;0,VLOOKUP(Straw!$AN$5,Tabeller!H4:I7,2)&amp;" på "&amp;VLOOKUP(Straw!$AN$5,Tabeller!H4:M7,6)&amp;" m3","")&amp;IF(Straw!$AB$312," og "&amp;VLOOKUP(Straw!$AN$6,Tabeller!H4:I7,2)&amp;" på "&amp;VLOOKUP(Straw!$AN$6,Tabeller!H4:M7,6)&amp;" m3","")&amp;IF(Straw!$AB$35&gt;0," og "&amp;VLOOKUP(Straw!$AN$7,Tabeller!H4:I7,2)&amp;" på "&amp;VLOOKUP(Straw!$AN$7,Tabeller!H4:M7,6)&amp;" m3","")&amp;IF(Straw!$AB$37&gt;0," og "&amp;VLOOKUP(Straw!$AN$8,Tabeller!H4:I7,2)&amp;" på "&amp;VLOOKUP(Straw!$AN$8,Tabeller!H4:M7,6)&amp;" m3","")</f>
        <v>Barn, concrete floor på 5000 m3</v>
      </c>
    </row>
    <row r="60" spans="1:14" x14ac:dyDescent="0.25">
      <c r="A60" s="284"/>
      <c r="B60" s="285" t="str">
        <f>IF(SUM(Straw!$AD$31:$AD$37)&gt;0,"Bemærk: Lagrene fyldes delvis med andet end halm","")</f>
        <v>Bemærk: Lagrene fyldes delvis med andet end halm</v>
      </c>
    </row>
    <row r="61" spans="1:14" x14ac:dyDescent="0.25">
      <c r="A61" s="284" t="s">
        <v>283</v>
      </c>
      <c r="B61" s="284" t="str">
        <f>IF(Straw!$AB$46&gt;0,VLOOKUP(Straw!$AN$9,Tabeller!H4:I7,2)&amp;" på "&amp;VLOOKUP(Straw!$AN$9,Tabeller!H4:M7,6)&amp;" m3","")&amp;IF(Straw!$AB$48," og "&amp;VLOOKUP(Straw!$AN$10,Tabeller!H4:I7,2)&amp;" på "&amp;VLOOKUP(Straw!$AN$10,Tabeller!H4:M7,6)&amp;" m3","")&amp;IF(Straw!$AB$50&gt;0," og "&amp;VLOOKUP(Straw!$AN$11,Tabeller!H4:I7,2)&amp;" på "&amp;VLOOKUP(Straw!$AN$11,Tabeller!H4:M7,6)&amp;" m3","")&amp;IF(Straw!$AB$52&gt;0," og "&amp;VLOOKUP(Straw!$AN$12,Tabeller!H4:I7,2)&amp;" på "&amp;VLOOKUP(Straw!$AN$12,Tabeller!H4:M7,6)&amp;" m3","")</f>
        <v>Open barn på 5000 m3</v>
      </c>
    </row>
    <row r="62" spans="1:14" x14ac:dyDescent="0.25">
      <c r="A62" s="284"/>
      <c r="B62" s="285" t="str">
        <f>IF(SUM(Straw!$AD$46:$AD$52)&gt;0,"Bemærk: Lagrene fyldes delvis med andet end halm","")</f>
        <v/>
      </c>
    </row>
    <row r="63" spans="1:14" x14ac:dyDescent="0.25">
      <c r="A63" s="284"/>
      <c r="B63" s="284"/>
    </row>
    <row r="64" spans="1:14" x14ac:dyDescent="0.25">
      <c r="A64" s="430" t="s">
        <v>153</v>
      </c>
      <c r="B64" s="284"/>
    </row>
    <row r="65" spans="1:2" x14ac:dyDescent="0.25">
      <c r="A65" s="284" t="str">
        <f>IF(Treatment=1,"Ekstrudering",(IF(Treatment=2,"Brikettering",(IF(Treatment=3,"Ingen")))))</f>
        <v>Ekstrudering</v>
      </c>
      <c r="B65" s="284"/>
    </row>
    <row r="66" spans="1:2" x14ac:dyDescent="0.25">
      <c r="A66" s="284" t="s">
        <v>294</v>
      </c>
      <c r="B66" s="433">
        <f>Br_Ydelse</f>
        <v>-626589.87158614898</v>
      </c>
    </row>
    <row r="67" spans="1:2" x14ac:dyDescent="0.25">
      <c r="A67" s="284" t="s">
        <v>285</v>
      </c>
      <c r="B67" s="284" t="str">
        <f>_xlfn.FLOOR.PRECISE(Straw!AA18,1)&amp;" % til halm og "&amp;_xlfn.FLOOR.PRECISE(Straw!AA19)&amp;"  % til andet"</f>
        <v>6 % til halm og 80  % til andet</v>
      </c>
    </row>
    <row r="68" spans="1:2" x14ac:dyDescent="0.25">
      <c r="A68" s="284"/>
      <c r="B68" s="284"/>
    </row>
    <row r="69" spans="1:2" x14ac:dyDescent="0.25">
      <c r="A69" s="284"/>
      <c r="B69" s="284"/>
    </row>
    <row r="70" spans="1:2" x14ac:dyDescent="0.25">
      <c r="A70" s="430" t="s">
        <v>225</v>
      </c>
      <c r="B70" s="284"/>
    </row>
    <row r="71" spans="1:2" x14ac:dyDescent="0.25">
      <c r="A71" s="284" t="s">
        <v>284</v>
      </c>
      <c r="B71" s="434">
        <f>_xlfn.FLOOR.PRECISE('Results -straw'!F27,1)</f>
        <v>-594650</v>
      </c>
    </row>
    <row r="72" spans="1:2" x14ac:dyDescent="0.25">
      <c r="A72" s="284" t="s">
        <v>279</v>
      </c>
      <c r="B72" s="434">
        <f>_xlfn.FLOOR.PRECISE('Results -straw'!F37,1)</f>
        <v>916298</v>
      </c>
    </row>
    <row r="73" spans="1:2" ht="15.75" thickBot="1" x14ac:dyDescent="0.3">
      <c r="A73" s="284" t="s">
        <v>267</v>
      </c>
      <c r="B73" s="435">
        <f>_xlfn.FLOOR.PRECISE('Results -straw'!F39,1)</f>
        <v>321649</v>
      </c>
    </row>
    <row r="74" spans="1:2" ht="15.75" thickTop="1" x14ac:dyDescent="0.25">
      <c r="A74" s="284"/>
      <c r="B74" s="284"/>
    </row>
    <row r="75" spans="1:2" x14ac:dyDescent="0.25">
      <c r="A75" s="284"/>
      <c r="B75" s="28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38"/>
  <sheetViews>
    <sheetView workbookViewId="0">
      <selection activeCell="J24" sqref="J24"/>
    </sheetView>
  </sheetViews>
  <sheetFormatPr defaultRowHeight="15" x14ac:dyDescent="0.25"/>
  <cols>
    <col min="1" max="1" width="33.7109375" customWidth="1"/>
    <col min="2" max="2" width="51" customWidth="1"/>
    <col min="3" max="3" width="6.5703125" customWidth="1"/>
    <col min="4" max="4" width="9.140625" hidden="1" customWidth="1"/>
    <col min="5" max="5" width="3.42578125" customWidth="1"/>
    <col min="6" max="6" width="3.140625" hidden="1" customWidth="1"/>
    <col min="7" max="7" width="9.140625" hidden="1" customWidth="1"/>
  </cols>
  <sheetData>
    <row r="1" spans="1:9" ht="23.25" x14ac:dyDescent="0.35">
      <c r="A1" s="381" t="s">
        <v>290</v>
      </c>
      <c r="B1" s="380"/>
      <c r="C1" s="380"/>
      <c r="D1" s="380"/>
      <c r="E1" s="380"/>
      <c r="F1" s="380"/>
      <c r="G1" s="380"/>
      <c r="H1" s="380"/>
      <c r="I1" s="380"/>
    </row>
    <row r="2" spans="1:9" x14ac:dyDescent="0.25">
      <c r="A2" s="380" t="str">
        <f>"Udskrevet d. "</f>
        <v xml:space="preserve">Udskrevet d. </v>
      </c>
      <c r="B2" s="384">
        <f ca="1">TODAY()</f>
        <v>41989</v>
      </c>
      <c r="C2" s="380"/>
      <c r="D2" s="380"/>
      <c r="E2" s="380"/>
      <c r="F2" s="380"/>
      <c r="G2" s="380"/>
      <c r="H2" s="380"/>
      <c r="I2" s="380"/>
    </row>
    <row r="3" spans="1:9" x14ac:dyDescent="0.25">
      <c r="A3" s="380"/>
      <c r="B3" s="380"/>
      <c r="C3" s="380"/>
      <c r="D3" s="380"/>
      <c r="E3" s="380"/>
      <c r="F3" s="380"/>
      <c r="G3" s="380"/>
      <c r="H3" s="380"/>
      <c r="I3" s="380"/>
    </row>
    <row r="4" spans="1:9" x14ac:dyDescent="0.25">
      <c r="A4" s="273" t="s">
        <v>155</v>
      </c>
      <c r="B4" s="380"/>
      <c r="C4" s="380"/>
      <c r="D4" s="380"/>
      <c r="E4" s="380"/>
      <c r="F4" s="380"/>
      <c r="G4" s="380"/>
      <c r="H4" s="380"/>
      <c r="I4" s="380"/>
    </row>
    <row r="5" spans="1:9" x14ac:dyDescent="0.25">
      <c r="A5" s="380" t="s">
        <v>274</v>
      </c>
      <c r="B5" s="380" t="str">
        <f>'Results rape straw'!B3</f>
        <v>Briquetted straw</v>
      </c>
      <c r="C5" s="380"/>
      <c r="D5" s="380"/>
      <c r="E5" s="380"/>
      <c r="F5" s="380"/>
      <c r="G5" s="380"/>
      <c r="H5" s="380"/>
      <c r="I5" s="380"/>
    </row>
    <row r="6" spans="1:9" x14ac:dyDescent="0.25">
      <c r="A6" s="380" t="s">
        <v>160</v>
      </c>
      <c r="B6" s="380" t="str">
        <f>RapsAfstandLager&amp;" km med Traktor med halmvogn og frontlæsser"</f>
        <v>0,5 km med Traktor med halmvogn og frontlæsser</v>
      </c>
      <c r="C6" s="380"/>
      <c r="D6" s="380"/>
      <c r="E6" s="380"/>
      <c r="F6" s="380"/>
      <c r="G6" s="380"/>
      <c r="H6" s="380"/>
      <c r="I6" s="380"/>
    </row>
    <row r="7" spans="1:9" x14ac:dyDescent="0.25">
      <c r="A7" s="380" t="s">
        <v>62</v>
      </c>
      <c r="B7" s="380" t="str">
        <f>RapsTransAfstand&amp;" km med "&amp;'Rape straw'!A31</f>
        <v>100 km med Tractor &amp; trailer</v>
      </c>
      <c r="C7" s="380"/>
      <c r="D7" s="380"/>
      <c r="E7" s="380"/>
      <c r="F7" s="380"/>
      <c r="G7" s="380"/>
      <c r="H7" s="380"/>
      <c r="I7" s="380"/>
    </row>
    <row r="8" spans="1:9" x14ac:dyDescent="0.25">
      <c r="A8" s="380" t="s">
        <v>275</v>
      </c>
      <c r="B8" s="380" t="str">
        <f>'Rape straw'!A25&amp;" hos landmand og"</f>
        <v>Tractor &amp; Frontloader hos landmand og</v>
      </c>
      <c r="C8" s="380"/>
      <c r="D8" s="380"/>
      <c r="E8" s="380"/>
      <c r="F8" s="380"/>
      <c r="G8" s="380"/>
      <c r="H8" s="380"/>
      <c r="I8" s="380"/>
    </row>
    <row r="9" spans="1:9" x14ac:dyDescent="0.25">
      <c r="A9" s="380"/>
      <c r="B9" s="380" t="str">
        <f>'Rape straw'!A38&amp;" på anlæg"</f>
        <v>Tractor &amp; Frontloader på anlæg</v>
      </c>
      <c r="C9" s="380"/>
      <c r="D9" s="380"/>
      <c r="E9" s="380"/>
      <c r="F9" s="380"/>
      <c r="G9" s="380"/>
      <c r="H9" s="380"/>
      <c r="I9" s="380"/>
    </row>
    <row r="10" spans="1:9" x14ac:dyDescent="0.25">
      <c r="A10" s="380"/>
      <c r="B10" s="380"/>
      <c r="C10" s="380"/>
      <c r="D10" s="380"/>
      <c r="E10" s="380"/>
      <c r="F10" s="380"/>
      <c r="G10" s="380"/>
      <c r="H10" s="380"/>
      <c r="I10" s="380"/>
    </row>
    <row r="11" spans="1:9" x14ac:dyDescent="0.25">
      <c r="A11" s="273" t="s">
        <v>156</v>
      </c>
      <c r="B11" s="380"/>
      <c r="C11" s="380"/>
      <c r="D11" s="380"/>
      <c r="E11" s="380"/>
      <c r="F11" s="380"/>
      <c r="G11" s="380"/>
      <c r="H11" s="380"/>
      <c r="I11" s="380"/>
    </row>
    <row r="12" spans="1:9" x14ac:dyDescent="0.25">
      <c r="A12" s="267" t="s">
        <v>167</v>
      </c>
      <c r="B12" s="380" t="str">
        <f>'Rape straw'!C5&amp;" ha."</f>
        <v>60 ha.</v>
      </c>
      <c r="C12" s="380"/>
      <c r="D12" s="380"/>
      <c r="E12" s="380"/>
      <c r="F12" s="380"/>
      <c r="G12" s="380"/>
      <c r="H12" s="380"/>
      <c r="I12" s="380"/>
    </row>
    <row r="13" spans="1:9" x14ac:dyDescent="0.25">
      <c r="A13" s="380" t="s">
        <v>156</v>
      </c>
      <c r="B13" s="380" t="str">
        <f>RapsHøstudbytte&amp;" Ton/ha."</f>
        <v>195 Ton/ha.</v>
      </c>
      <c r="C13" s="380"/>
      <c r="D13" s="380"/>
      <c r="E13" s="380"/>
      <c r="F13" s="380"/>
      <c r="G13" s="380"/>
      <c r="H13" s="380"/>
      <c r="I13" s="380"/>
    </row>
    <row r="14" spans="1:9" x14ac:dyDescent="0.25">
      <c r="A14" s="380" t="s">
        <v>157</v>
      </c>
      <c r="B14" s="382">
        <f>'Rape straw'!C7</f>
        <v>0.90700000000000003</v>
      </c>
      <c r="C14" s="380"/>
      <c r="D14" s="380"/>
      <c r="E14" s="380"/>
      <c r="F14" s="380"/>
      <c r="G14" s="380"/>
      <c r="H14" s="380"/>
      <c r="I14" s="380"/>
    </row>
    <row r="15" spans="1:9" x14ac:dyDescent="0.25">
      <c r="A15" s="380" t="s">
        <v>276</v>
      </c>
      <c r="B15" s="382">
        <f>'Rape straw'!C7-'Rape straw'!C8</f>
        <v>9.1000000000000081E-2</v>
      </c>
      <c r="C15" s="380"/>
      <c r="D15" s="380"/>
      <c r="E15" s="380"/>
      <c r="F15" s="380"/>
      <c r="G15" s="380"/>
      <c r="H15" s="380"/>
      <c r="I15" s="380"/>
    </row>
    <row r="16" spans="1:9" x14ac:dyDescent="0.25">
      <c r="A16" s="380" t="s">
        <v>277</v>
      </c>
      <c r="B16" s="380" t="str">
        <f>_xlfn.FLOOR.PRECISE(VLOOKUP(Rapsbehandling,Tabeller!H45:J47,3))&amp;" L CH4/kgVS"</f>
        <v>356 L CH4/kgVS</v>
      </c>
      <c r="C16" s="380"/>
      <c r="D16" s="380"/>
      <c r="E16" s="380"/>
      <c r="F16" s="380"/>
      <c r="G16" s="380"/>
      <c r="H16" s="380"/>
      <c r="I16" s="380"/>
    </row>
    <row r="17" spans="1:9" x14ac:dyDescent="0.25">
      <c r="A17" s="380" t="s">
        <v>158</v>
      </c>
      <c r="B17" s="380" t="str">
        <f>_xlfn.FLOOR.PRECISE(VLOOKUP(Rapsbehandling,Tabeller!H45:J47,3)*'Rape straw'!$C$8*'Rape straw'!$C$6,1)&amp;" m3 CH4/ha."</f>
        <v>945 m3 CH4/ha.</v>
      </c>
      <c r="C17" s="380"/>
      <c r="D17" s="380"/>
      <c r="E17" s="380"/>
      <c r="F17" s="380"/>
      <c r="G17" s="380"/>
      <c r="H17" s="380"/>
      <c r="I17" s="380"/>
    </row>
    <row r="18" spans="1:9" x14ac:dyDescent="0.25">
      <c r="A18" s="380"/>
      <c r="B18" s="380"/>
      <c r="C18" s="380"/>
      <c r="D18" s="380"/>
      <c r="E18" s="380"/>
      <c r="F18" s="380"/>
      <c r="G18" s="380"/>
      <c r="H18" s="380"/>
      <c r="I18" s="380"/>
    </row>
    <row r="19" spans="1:9" x14ac:dyDescent="0.25">
      <c r="A19" s="273" t="s">
        <v>154</v>
      </c>
      <c r="B19" s="380"/>
      <c r="C19" s="380"/>
      <c r="D19" s="380"/>
      <c r="E19" s="380"/>
      <c r="F19" s="380"/>
      <c r="G19" s="380"/>
      <c r="H19" s="380"/>
      <c r="I19" s="380"/>
    </row>
    <row r="20" spans="1:9" x14ac:dyDescent="0.25">
      <c r="A20" s="380" t="s">
        <v>281</v>
      </c>
      <c r="B20" s="380" t="str">
        <f>_xlfn.FLOOR.PRECISE('Rape straw'!$M$5,1)&amp;" m3 halmballer eller "&amp;_xlfn.FLOOR.PRECISE('Rape straw'!$M$6,1)&amp;" m3 briketter"</f>
        <v>1218 m3 halmballer eller 433 m3 briketter</v>
      </c>
      <c r="C20" s="380"/>
      <c r="D20" s="380"/>
      <c r="E20" s="380"/>
      <c r="F20" s="380"/>
      <c r="G20" s="380"/>
      <c r="H20" s="380"/>
      <c r="I20" s="380"/>
    </row>
    <row r="21" spans="1:9" x14ac:dyDescent="0.25">
      <c r="A21" s="380" t="s">
        <v>282</v>
      </c>
      <c r="B21" s="380" t="str">
        <f>IF('Rape straw'!$O$17&gt;0,VLOOKUP('Rape straw'!$AR$6,Tabeller!H4:I7,2)&amp;" på "&amp;VLOOKUP('Rape straw'!$AR$6,Tabeller!H4:M7,6)&amp;" m3","")&amp;IF('Rape straw'!$O$19&gt;0," og "&amp;VLOOKUP('Rape straw'!$AR$7,Tabeller!H4:I7,2)&amp;" på "&amp;VLOOKUP('Rape straw'!$AR$7,Tabeller!H4:M7,6)&amp;" m3","")&amp;IF('Rape straw'!$O$21&gt;0," og "&amp;VLOOKUP('Rape straw'!$AR$8,Tabeller!H4:I7,2)&amp;" på "&amp;VLOOKUP('Rape straw'!$AR$8,Tabeller!H4:M7,6)&amp;" m3","")&amp;IF('Rape straw'!$O$23&gt;0," og "&amp;VLOOKUP('Rape straw'!$AR$9,Tabeller!H4:I7,2)&amp;" på "&amp;VLOOKUP('Rape straw'!$AR$9,Tabeller!H4:M7,6)&amp;" m3","")</f>
        <v>Open barn på 5000 m3</v>
      </c>
      <c r="C21" s="380"/>
      <c r="D21" s="380"/>
      <c r="E21" s="380"/>
      <c r="F21" s="380"/>
      <c r="G21" s="380"/>
      <c r="H21" s="380"/>
      <c r="I21" s="380"/>
    </row>
    <row r="22" spans="1:9" x14ac:dyDescent="0.25">
      <c r="A22" s="380"/>
      <c r="B22" s="383" t="str">
        <f>IF(SUM('Rape straw'!$Q$17:$Q$23)&gt;0,"Bemærk: Lagrene fyldes delvis med andet end halm","")</f>
        <v>Bemærk: Lagrene fyldes delvis med andet end halm</v>
      </c>
      <c r="C22" s="380"/>
      <c r="D22" s="380"/>
      <c r="E22" s="380"/>
      <c r="F22" s="380"/>
      <c r="G22" s="380"/>
      <c r="H22" s="380"/>
      <c r="I22" s="380"/>
    </row>
    <row r="23" spans="1:9" x14ac:dyDescent="0.25">
      <c r="A23" s="380" t="s">
        <v>283</v>
      </c>
      <c r="B23" s="380" t="str">
        <f>IF('Rape straw'!$O$30&gt;0,VLOOKUP('Rape straw'!$AR$10,Tabeller!H4:I7,2)&amp;" på "&amp;VLOOKUP('Rape straw'!$AR$10,Tabeller!H4:M7,6)&amp;" m3","")&amp;IF('Rape straw'!$O$32&gt;0," og "&amp;VLOOKUP('Rape straw'!$AR$11,Tabeller!H4:I7,2)&amp;" på "&amp;VLOOKUP('Rape straw'!$AR$11,Tabeller!H4:M7,6)&amp;" m3","")&amp;IF('Rape straw'!$O$34&gt;0," og "&amp;VLOOKUP('Rape straw'!$AR$12,Tabeller!H4:I7,2)&amp;" på "&amp;VLOOKUP('Rape straw'!$AR$12,Tabeller!H4:M7,6)&amp;" m3","")&amp;IF('Rape straw'!$O$36&gt;0," og "&amp;VLOOKUP('Rape straw'!$AR$13,Tabeller!H4:I7,2)&amp;" på "&amp;VLOOKUP('Rape straw'!$AR$13,Tabeller!H4:M7,6)&amp;" m3","")</f>
        <v>Open barn på 5000 m3</v>
      </c>
      <c r="C23" s="380"/>
      <c r="D23" s="380"/>
      <c r="E23" s="380"/>
      <c r="F23" s="380"/>
      <c r="G23" s="380"/>
      <c r="H23" s="380"/>
      <c r="I23" s="380"/>
    </row>
    <row r="24" spans="1:9" x14ac:dyDescent="0.25">
      <c r="A24" s="380"/>
      <c r="B24" s="383" t="str">
        <f>IF(SUM('Rape straw'!$Q$30:$Q$36)&gt;0,"Bemærk: Lagrene fyldes delvis med andet end halm","")</f>
        <v>Bemærk: Lagrene fyldes delvis med andet end halm</v>
      </c>
      <c r="C24" s="380"/>
      <c r="D24" s="380"/>
      <c r="E24" s="380"/>
      <c r="F24" s="380"/>
      <c r="G24" s="380"/>
      <c r="H24" s="380"/>
      <c r="I24" s="380"/>
    </row>
    <row r="25" spans="1:9" x14ac:dyDescent="0.25">
      <c r="A25" s="380"/>
      <c r="B25" s="380"/>
      <c r="C25" s="380"/>
      <c r="D25" s="380"/>
      <c r="E25" s="380"/>
      <c r="F25" s="380"/>
      <c r="G25" s="380"/>
      <c r="H25" s="380"/>
      <c r="I25" s="380"/>
    </row>
    <row r="26" spans="1:9" x14ac:dyDescent="0.25">
      <c r="A26" s="273" t="s">
        <v>153</v>
      </c>
      <c r="B26" s="380"/>
      <c r="C26" s="380"/>
      <c r="D26" s="380"/>
      <c r="E26" s="380"/>
      <c r="F26" s="380"/>
      <c r="G26" s="380"/>
      <c r="H26" s="380"/>
      <c r="I26" s="380"/>
    </row>
    <row r="27" spans="1:9" x14ac:dyDescent="0.25">
      <c r="A27" s="380" t="b">
        <f>IF(Rapsbehandling=1,"Ekstrudering",(IF(Treatment=2,"Brikettering",(IF(Rapsbehandling=3,"Ingen")))))</f>
        <v>0</v>
      </c>
      <c r="B27" s="380"/>
      <c r="C27" s="380"/>
      <c r="D27" s="380"/>
      <c r="E27" s="380"/>
      <c r="F27" s="380"/>
      <c r="G27" s="380"/>
      <c r="H27" s="380"/>
      <c r="I27" s="380"/>
    </row>
    <row r="28" spans="1:9" x14ac:dyDescent="0.25">
      <c r="A28" s="380" t="str">
        <f>IF(Rapsbehandling=3,"","Årlige låneomkostninger")</f>
        <v>Årlige låneomkostninger</v>
      </c>
      <c r="B28" s="404">
        <f>IF(Rapsbehandling=1,Ex_Ydelse,(IF(Rapsbehandling=2,Br_Ydelse,(IF(Rapsbehandling=3,"")))))</f>
        <v>-626589.87158614898</v>
      </c>
      <c r="C28" s="380"/>
      <c r="D28" s="380"/>
      <c r="E28" s="380"/>
      <c r="F28" s="380"/>
      <c r="G28" s="380"/>
      <c r="H28" s="380"/>
      <c r="I28" s="380"/>
    </row>
    <row r="29" spans="1:9" x14ac:dyDescent="0.25">
      <c r="A29" s="380" t="str">
        <f>IF(Rapsbehandling=3,"","Procentvis udnyttelse af maskine")</f>
        <v>Procentvis udnyttelse af maskine</v>
      </c>
      <c r="B29" s="380" t="str">
        <f>IF(Rapsbehandling=3,"",_xlfn.FLOOR.PRECISE('Rape straw'!$H$5,0.1)&amp;" % til halm og "&amp;_xlfn.FLOOR.PRECISE('Rape straw'!H6)&amp;"  % til andet")</f>
        <v>1,9 % til halm og 92  % til andet</v>
      </c>
      <c r="C29" s="380"/>
      <c r="D29" s="380"/>
      <c r="E29" s="380"/>
      <c r="F29" s="380"/>
      <c r="G29" s="380"/>
      <c r="H29" s="380"/>
      <c r="I29" s="380"/>
    </row>
    <row r="30" spans="1:9" x14ac:dyDescent="0.25">
      <c r="A30" s="380"/>
      <c r="B30" s="380"/>
      <c r="C30" s="380"/>
      <c r="D30" s="380"/>
      <c r="E30" s="380"/>
      <c r="F30" s="380"/>
      <c r="G30" s="380"/>
      <c r="H30" s="380"/>
      <c r="I30" s="380"/>
    </row>
    <row r="31" spans="1:9" x14ac:dyDescent="0.25">
      <c r="A31" s="380"/>
      <c r="B31" s="380"/>
      <c r="C31" s="380"/>
      <c r="D31" s="380"/>
      <c r="E31" s="380"/>
      <c r="F31" s="380"/>
      <c r="G31" s="380"/>
      <c r="H31" s="380"/>
      <c r="I31" s="380"/>
    </row>
    <row r="32" spans="1:9" x14ac:dyDescent="0.25">
      <c r="A32" s="273" t="s">
        <v>225</v>
      </c>
      <c r="B32" s="380"/>
      <c r="C32" s="380"/>
      <c r="D32" s="380"/>
      <c r="E32" s="380"/>
      <c r="F32" s="380"/>
      <c r="G32" s="380"/>
      <c r="H32" s="380"/>
      <c r="I32" s="380"/>
    </row>
    <row r="33" spans="1:9" x14ac:dyDescent="0.25">
      <c r="A33" s="380" t="s">
        <v>284</v>
      </c>
      <c r="B33" s="402">
        <f>_xlfn.FLOOR.PRECISE('Results rape straw'!B22,1)</f>
        <v>-224816</v>
      </c>
      <c r="C33" s="380"/>
      <c r="D33" s="380"/>
      <c r="E33" s="380"/>
      <c r="F33" s="380"/>
      <c r="G33" s="380"/>
      <c r="H33" s="380"/>
      <c r="I33" s="380"/>
    </row>
    <row r="34" spans="1:9" x14ac:dyDescent="0.25">
      <c r="A34" s="380" t="s">
        <v>279</v>
      </c>
      <c r="B34" s="402">
        <f>_xlfn.FLOOR.PRECISE('Results rape straw'!B32,1)</f>
        <v>322772</v>
      </c>
      <c r="C34" s="380"/>
      <c r="D34" s="380"/>
      <c r="E34" s="380"/>
      <c r="F34" s="380"/>
      <c r="G34" s="380"/>
      <c r="H34" s="380"/>
      <c r="I34" s="380"/>
    </row>
    <row r="35" spans="1:9" ht="15.75" thickBot="1" x14ac:dyDescent="0.3">
      <c r="A35" s="380" t="s">
        <v>267</v>
      </c>
      <c r="B35" s="403">
        <f>_xlfn.FLOOR.PRECISE('Results rape straw'!B34,1)</f>
        <v>97957</v>
      </c>
      <c r="C35" s="380"/>
      <c r="D35" s="380"/>
      <c r="E35" s="380"/>
      <c r="F35" s="380"/>
      <c r="G35" s="380"/>
      <c r="H35" s="380"/>
      <c r="I35" s="380"/>
    </row>
    <row r="36" spans="1:9" ht="15.75" thickTop="1" x14ac:dyDescent="0.25">
      <c r="A36" s="380"/>
      <c r="B36" s="401"/>
      <c r="C36" s="380"/>
      <c r="D36" s="380"/>
      <c r="E36" s="380"/>
      <c r="F36" s="380"/>
      <c r="G36" s="380"/>
      <c r="H36" s="380"/>
      <c r="I36" s="380"/>
    </row>
    <row r="37" spans="1:9" x14ac:dyDescent="0.25">
      <c r="A37" s="380"/>
      <c r="B37" s="380"/>
      <c r="C37" s="380"/>
      <c r="D37" s="380"/>
      <c r="E37" s="380"/>
      <c r="F37" s="380"/>
      <c r="G37" s="380"/>
      <c r="H37" s="380"/>
      <c r="I37" s="380"/>
    </row>
    <row r="38" spans="1:9" x14ac:dyDescent="0.25">
      <c r="A38" s="380"/>
      <c r="B38" s="380"/>
      <c r="C38" s="380"/>
      <c r="D38" s="380"/>
      <c r="E38" s="380"/>
      <c r="F38" s="380"/>
      <c r="G38" s="380"/>
      <c r="H38" s="380"/>
      <c r="I38" s="38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5898916A9D62F94888205B23A5EF490C"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51f0e1e0d95e28e5ef6c34c9834fbb6">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2014-12-16T09:38:56+00:00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Regneark.</Comment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90" ma:contentTypeDescription="Den primære contenttype der anvendes på Landbrugsinfo" ma:contentTypeScope="" ma:versionID="fc7fd3f2cdc8c0b7cd7361b4ba5e8929">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xmlns:ns9="36a6432d-2080-4aea-9e49-bd65694160a7" targetNamespace="http://schemas.microsoft.com/office/2006/metadata/properties" ma:root="true" ma:fieldsID="0197597784d5f1cbacac5e67ac370b1c" ns1:_="" ns2:_="" ns3:_="" ns4:_="" ns5:_="" ns6:_="" ns7:_="" ns8:_="" ns9: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import namespace="36a6432d-2080-4aea-9e49-bd65694160a7"/>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element ref="ns9:WebInfoLawCodes" minOccurs="0"/>
                <xsd:element ref="ns9:Afrapport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1" nillable="true" ma:displayName="Dynamisk sideindhold (1)" ma:internalName="DynamicPublishingContent0">
      <xsd:simpleType>
        <xsd:restriction base="dms:Unknown"/>
      </xsd:simpleType>
    </xsd:element>
    <xsd:element name="DynamicPublishingContent1" ma:index="42" nillable="true" ma:displayName="Dynamisk sideindhold (2)" ma:internalName="DynamicPublishingContent1">
      <xsd:simpleType>
        <xsd:restriction base="dms:Unknown"/>
      </xsd:simpleType>
    </xsd:element>
    <xsd:element name="DynamicPublishingContent2" ma:index="43" nillable="true" ma:displayName="Dynamisk sideindhold (3)" ma:internalName="DynamicPublishingContent2">
      <xsd:simpleType>
        <xsd:restriction base="dms:Unknown"/>
      </xsd:simpleType>
    </xsd:element>
    <xsd:element name="DynamicPublishingContent3" ma:index="44" nillable="true" ma:displayName="Dynamisk sideindhold (4)" ma:internalName="DynamicPublishingContent3">
      <xsd:simpleType>
        <xsd:restriction base="dms:Unknown"/>
      </xsd:simpleType>
    </xsd:element>
    <xsd:element name="DynamicPublishingContent4" ma:index="45" nillable="true" ma:displayName="Dynamisk sideindhold (5)" ma:internalName="DynamicPublishingContent4">
      <xsd:simpleType>
        <xsd:restriction base="dms:Unknown"/>
      </xsd:simpleType>
    </xsd:element>
    <xsd:element name="DynamicPublishingContent5" ma:index="46" nillable="true" ma:displayName="Dynamisk sideindhold (6)" ma:internalName="DynamicPublishingContent5">
      <xsd:simpleType>
        <xsd:restriction base="dms:Unknown"/>
      </xsd:simpleType>
    </xsd:element>
    <xsd:element name="DynamicPublishingContent6" ma:index="62" nillable="true" ma:displayName="Dynamisk sideindhold (7)" ma:hidden="true" ma:internalName="DynamicPublishingContent6">
      <xsd:simpleType>
        <xsd:restriction base="dms:Unknown"/>
      </xsd:simpleType>
    </xsd:element>
    <xsd:element name="DynamicPublishingContent7" ma:index="63" nillable="true" ma:displayName="Dynamisk sideindhold (8)" ma:hidden="true" ma:internalName="DynamicPublishingContent7">
      <xsd:simpleType>
        <xsd:restriction base="dms:Unknown"/>
      </xsd:simpleType>
    </xsd:element>
    <xsd:element name="DynamicPublishingContent8" ma:index="64" nillable="true" ma:displayName="Dynamisk sideindhold (9)" ma:hidden="true" ma:internalName="DynamicPublishingContent8">
      <xsd:simpleType>
        <xsd:restriction base="dms:Unknown"/>
      </xsd:simpleType>
    </xsd:element>
    <xsd:element name="DynamicPublishingContent9" ma:index="65" nillable="true" ma:displayName="Dynamisk sideindhold (10)" ma:hidden="true" ma:internalName="DynamicPublishingContent9">
      <xsd:simpleType>
        <xsd:restriction base="dms:Unknown"/>
      </xsd:simpleType>
    </xsd:element>
    <xsd:element name="DynamicPublishingContent10" ma:index="66" nillable="true" ma:displayName="Dynamisk sideindhold (11)" ma:hidden="true" ma:internalName="DynamicPublishingContent10">
      <xsd:simpleType>
        <xsd:restriction base="dms:Unknown"/>
      </xsd:simpleType>
    </xsd:element>
    <xsd:element name="DynamicPublishingContent11" ma:index="67" nillable="true" ma:displayName="Dynamisk sideindhold (12)" ma:hidden="true" ma:internalName="DynamicPublishingContent11">
      <xsd:simpleType>
        <xsd:restriction base="dms:Unknown"/>
      </xsd:simpleType>
    </xsd:element>
    <xsd:element name="DynamicPublishingContent12" ma:index="68" nillable="true" ma:displayName="Dynamisk sideindhold (13)" ma:hidden="true" ma:internalName="DynamicPublishingContent12">
      <xsd:simpleType>
        <xsd:restriction base="dms:Unknown"/>
      </xsd:simpleType>
    </xsd:element>
    <xsd:element name="DynamicPublishingContent13" ma:index="69" nillable="true" ma:displayName="Dynamisk sideindhold (14)" ma:hidden="true" ma:internalName="DynamicPublishingContent13">
      <xsd:simpleType>
        <xsd:restriction base="dms:Unknown"/>
      </xsd:simpleType>
    </xsd:element>
    <xsd:element name="DynamicPublishingContent14" ma:index="70"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7"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4"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5"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6" nillable="true" ma:displayName="HitCount (system)" ma:decimals="0" ma:default="0" ma:description="Antal gange et dokument er set af en bruger" ma:internalName="HitCount" ma:readOnly="false">
      <xsd:simpleType>
        <xsd:restriction base="dms:Number"/>
      </xsd:simpleType>
    </xsd:element>
    <xsd:element name="PermalinkID" ma:index="57"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58" nillable="true" ma:displayName="Tilvalg" ma:description="Mulighed for et antal tilvalg gemt i et samlet felt." ma:internalName="WebInfoMultiSelect">
      <xsd:simpleType>
        <xsd:restriction base="dms:Unknown"/>
      </xsd:simpleType>
    </xsd:element>
    <xsd:element name="TaksonomiTaxHTField0" ma:index="71"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5"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6"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9" nillable="true" ma:displayName="Værdi for dokument-id" ma:description="Værdien af det dokument-id, der er tildelt dette element." ma:internalName="_dlc_DocId" ma:readOnly="true">
      <xsd:simpleType>
        <xsd:restriction base="dms:Text"/>
      </xsd:simpleType>
    </xsd:element>
    <xsd:element name="_dlc_DocIdUrl" ma:index="60"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element name="TaxCatchAll" ma:index="72"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3"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a6432d-2080-4aea-9e49-bd65694160a7" elementFormDefault="qualified">
    <xsd:import namespace="http://schemas.microsoft.com/office/2006/documentManagement/types"/>
    <xsd:import namespace="http://schemas.microsoft.com/office/infopath/2007/PartnerControls"/>
    <xsd:element name="WebInfoLawCodes" ma:index="77"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8" nillable="true" ma:displayName="Afrapportering" ma:list="{126d356a-4f5c-4bbb-91a6-e07af1934e19}" ma:internalName="Afrapportering" ma:showField="LinkTitleNoMenu" ma:web="{303eeafb-7dff-46db-9396-e9c651f530ea}">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4A0AD3-AF85-46AC-884A-128EB0F93597}"/>
</file>

<file path=customXml/itemProps2.xml><?xml version="1.0" encoding="utf-8"?>
<ds:datastoreItem xmlns:ds="http://schemas.openxmlformats.org/officeDocument/2006/customXml" ds:itemID="{EC7B3ADE-73A6-40F5-AE7E-087F7A80A9AC}"/>
</file>

<file path=customXml/itemProps3.xml><?xml version="1.0" encoding="utf-8"?>
<ds:datastoreItem xmlns:ds="http://schemas.openxmlformats.org/officeDocument/2006/customXml" ds:itemID="{DAD3F297-5C1B-4B68-A63B-95245E83F9BD}"/>
</file>

<file path=customXml/itemProps4.xml><?xml version="1.0" encoding="utf-8"?>
<ds:datastoreItem xmlns:ds="http://schemas.openxmlformats.org/officeDocument/2006/customXml" ds:itemID="{CC488514-27EC-4CBB-B2ED-B9BAAF416C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128</vt:i4>
      </vt:variant>
    </vt:vector>
  </HeadingPairs>
  <TitlesOfParts>
    <vt:vector size="141" baseType="lpstr">
      <vt:lpstr>Start</vt:lpstr>
      <vt:lpstr>Straw</vt:lpstr>
      <vt:lpstr>Rape straw</vt:lpstr>
      <vt:lpstr>Meadow grass</vt:lpstr>
      <vt:lpstr>Results -straw</vt:lpstr>
      <vt:lpstr>Results rape straw</vt:lpstr>
      <vt:lpstr>Results  meadow grass</vt:lpstr>
      <vt:lpstr>Straw print</vt:lpstr>
      <vt:lpstr>Rape print</vt:lpstr>
      <vt:lpstr>meadow grass print</vt:lpstr>
      <vt:lpstr>Cases Eng</vt:lpstr>
      <vt:lpstr>Normer</vt:lpstr>
      <vt:lpstr>Tabeller</vt:lpstr>
      <vt:lpstr>'Results rape straw'!AFSKRIVNING</vt:lpstr>
      <vt:lpstr>Afskrivning</vt:lpstr>
      <vt:lpstr>AfstandAnlæg</vt:lpstr>
      <vt:lpstr>AfstandLager</vt:lpstr>
      <vt:lpstr>AnlægKMperTIME</vt:lpstr>
      <vt:lpstr>AnlægTransportKapNY</vt:lpstr>
      <vt:lpstr>AntalEkBr</vt:lpstr>
      <vt:lpstr>BalleKapTon</vt:lpstr>
      <vt:lpstr>Bigballe_Kap_1mand_Ton</vt:lpstr>
      <vt:lpstr>Bigballevægt</vt:lpstr>
      <vt:lpstr>Br_driftogvedlige</vt:lpstr>
      <vt:lpstr>Br_Forsik</vt:lpstr>
      <vt:lpstr>Br_installation</vt:lpstr>
      <vt:lpstr>Br_Levetid</vt:lpstr>
      <vt:lpstr>Br_Ydelse</vt:lpstr>
      <vt:lpstr>BrAflæsKap</vt:lpstr>
      <vt:lpstr>BrAfstand</vt:lpstr>
      <vt:lpstr>BrAntal</vt:lpstr>
      <vt:lpstr>Briketpresser</vt:lpstr>
      <vt:lpstr>BrKap</vt:lpstr>
      <vt:lpstr>BrLæsseKap</vt:lpstr>
      <vt:lpstr>BrLæssetimepris</vt:lpstr>
      <vt:lpstr>BrPrisSamlet</vt:lpstr>
      <vt:lpstr>BrTipKap</vt:lpstr>
      <vt:lpstr>BrTipvogn</vt:lpstr>
      <vt:lpstr>DensBr</vt:lpstr>
      <vt:lpstr>Densitet_bigballe</vt:lpstr>
      <vt:lpstr>Distance</vt:lpstr>
      <vt:lpstr>DistanceBrSt</vt:lpstr>
      <vt:lpstr>Elpris</vt:lpstr>
      <vt:lpstr>Elprocent</vt:lpstr>
      <vt:lpstr>EnergiMetan</vt:lpstr>
      <vt:lpstr>Energipris</vt:lpstr>
      <vt:lpstr>EngAfstand</vt:lpstr>
      <vt:lpstr>EngHast</vt:lpstr>
      <vt:lpstr>EngLæsse</vt:lpstr>
      <vt:lpstr>EngTransKap</vt:lpstr>
      <vt:lpstr>EngTransPris</vt:lpstr>
      <vt:lpstr>Ex_driftogVedlige</vt:lpstr>
      <vt:lpstr>EX_forsik</vt:lpstr>
      <vt:lpstr>Ex_kap</vt:lpstr>
      <vt:lpstr>'Results rape straw'!EX_LAGER</vt:lpstr>
      <vt:lpstr>Ex_levetid</vt:lpstr>
      <vt:lpstr>Ex_pris</vt:lpstr>
      <vt:lpstr>Ex_Ydelse</vt:lpstr>
      <vt:lpstr>ExafEng</vt:lpstr>
      <vt:lpstr>ExEngUdnytKap</vt:lpstr>
      <vt:lpstr>ExYdelseEng</vt:lpstr>
      <vt:lpstr>Normer!F_kapacitet_baller_1mand</vt:lpstr>
      <vt:lpstr>Normer!F_Storballepresser</vt:lpstr>
      <vt:lpstr>Finsnitgræs</vt:lpstr>
      <vt:lpstr>Frontlæsse_hast</vt:lpstr>
      <vt:lpstr>Frontlæssehast_mark</vt:lpstr>
      <vt:lpstr>Halm</vt:lpstr>
      <vt:lpstr>HalmlæssehastMark</vt:lpstr>
      <vt:lpstr>Hammermølle</vt:lpstr>
      <vt:lpstr>HøstprisVådEng</vt:lpstr>
      <vt:lpstr>KapBigballer</vt:lpstr>
      <vt:lpstr>L_Tipvogn</vt:lpstr>
      <vt:lpstr>LAGER_LÅN_LØBETID</vt:lpstr>
      <vt:lpstr>LagerEng</vt:lpstr>
      <vt:lpstr>LagerPrisVådEng</vt:lpstr>
      <vt:lpstr>Lagertype</vt:lpstr>
      <vt:lpstr>Lastbil2_tonlæs</vt:lpstr>
      <vt:lpstr>Lastbil2Vogn</vt:lpstr>
      <vt:lpstr>Lastbil3</vt:lpstr>
      <vt:lpstr>lastbil3_tonlæs</vt:lpstr>
      <vt:lpstr>Lastbil4_tonlæs</vt:lpstr>
      <vt:lpstr>LastbilHast</vt:lpstr>
      <vt:lpstr>LæsFrontBig</vt:lpstr>
      <vt:lpstr>LæsseAnlægPris</vt:lpstr>
      <vt:lpstr>LæsseHastAnlæg</vt:lpstr>
      <vt:lpstr>LæsseHastLand</vt:lpstr>
      <vt:lpstr>LæsseLandPris</vt:lpstr>
      <vt:lpstr>LæsseTeleBig</vt:lpstr>
      <vt:lpstr>Løbetid10</vt:lpstr>
      <vt:lpstr>MARK_STØRRELSE</vt:lpstr>
      <vt:lpstr>MarktilPresse</vt:lpstr>
      <vt:lpstr>MetanBr</vt:lpstr>
      <vt:lpstr>MetanEng</vt:lpstr>
      <vt:lpstr>MetanEngEx</vt:lpstr>
      <vt:lpstr>MetanEx</vt:lpstr>
      <vt:lpstr>MetanHvedehalm</vt:lpstr>
      <vt:lpstr>MetanRaps</vt:lpstr>
      <vt:lpstr>MetanRapsBR</vt:lpstr>
      <vt:lpstr>MetanRapsEX</vt:lpstr>
      <vt:lpstr>PresserKap</vt:lpstr>
      <vt:lpstr>Pressing_bigbale</vt:lpstr>
      <vt:lpstr>Raps_læssehastAnlæg</vt:lpstr>
      <vt:lpstr>Raps_Transanlæg</vt:lpstr>
      <vt:lpstr>RapsAfstandLager</vt:lpstr>
      <vt:lpstr>RapsAnlægTransKap</vt:lpstr>
      <vt:lpstr>Rapsbehandling</vt:lpstr>
      <vt:lpstr>RapsHøstudbytte</vt:lpstr>
      <vt:lpstr>RapslæsseAnlæg</vt:lpstr>
      <vt:lpstr>RapsLæsseHastAnlæg</vt:lpstr>
      <vt:lpstr>RapsLæsseHastLand</vt:lpstr>
      <vt:lpstr>RapsLæsselandmandPris</vt:lpstr>
      <vt:lpstr>RapsTransAfstand</vt:lpstr>
      <vt:lpstr>RapsTransHast</vt:lpstr>
      <vt:lpstr>Rente</vt:lpstr>
      <vt:lpstr>Rundballevægt</vt:lpstr>
      <vt:lpstr>Storballevægt</vt:lpstr>
      <vt:lpstr>StrawStoreFac</vt:lpstr>
      <vt:lpstr>StrawStoreFarm</vt:lpstr>
      <vt:lpstr>StrawYield</vt:lpstr>
      <vt:lpstr>Tedding</vt:lpstr>
      <vt:lpstr>Teleskoplæsser</vt:lpstr>
      <vt:lpstr>Traktor_Hastighed_mark</vt:lpstr>
      <vt:lpstr>Normer!TraktorFrontVogn</vt:lpstr>
      <vt:lpstr>TraktorHalmvogn</vt:lpstr>
      <vt:lpstr>TraktorHastVej</vt:lpstr>
      <vt:lpstr>TraktorPrisLager</vt:lpstr>
      <vt:lpstr>TransAnlægKap</vt:lpstr>
      <vt:lpstr>TransAnlægPris</vt:lpstr>
      <vt:lpstr>Transport_Hast</vt:lpstr>
      <vt:lpstr>Treatment</vt:lpstr>
      <vt:lpstr>UDBYTTE_PR_HA</vt:lpstr>
      <vt:lpstr>UdbytVaadEng</vt:lpstr>
      <vt:lpstr>UdnytForbRaps</vt:lpstr>
      <vt:lpstr>Varmepris</vt:lpstr>
      <vt:lpstr>Varmeprocent</vt:lpstr>
      <vt:lpstr>VS</vt:lpstr>
      <vt:lpstr>VSEng</vt:lpstr>
      <vt:lpstr>VSraps</vt:lpstr>
      <vt:lpstr>'Results rape straw'!YD_PR_ÅR</vt:lpstr>
      <vt:lpstr>'Results rape straw'!YDELSE_PR_ÅR</vt:lpstr>
      <vt:lpstr>YdelseMaskiner</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 halm (engelsk)</dc:title>
  <dc:creator>Ida Kjærgaard;Lone Abildgaard</dc:creator>
  <cp:lastModifiedBy>Lotte Buchtrup Hornbek</cp:lastModifiedBy>
  <cp:lastPrinted>2014-12-12T12:09:51Z</cp:lastPrinted>
  <dcterms:created xsi:type="dcterms:W3CDTF">2014-03-05T07:52:02Z</dcterms:created>
  <dcterms:modified xsi:type="dcterms:W3CDTF">2014-12-16T09:36:52Z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0x010100C568DB52D9D0A14D9B2FDCC96666E9F2007948130EC3DB064584E219954237AF3900242457EFB8B24247815D688C526CD44D005898916A9D62F94888205B23A5EF490C</vt:lpwstr>
  </property>
  <property fmtid="{D5CDD505-2E9C-101B-9397-08002B2CF9AE}" pid="3" name="_dlc_DocIdItemGuid">
    <vt:lpwstr>0893b4bf-225b-4558-907f-02d597aa030b</vt:lpwstr>
  </property>
  <property fmtid="{D5CDD505-2E9C-101B-9397-08002B2CF9AE}" pid="4" name="Taksonomi">
    <vt:lpwstr/>
  </property>
  <property fmtid="{D5CDD505-2E9C-101B-9397-08002B2CF9AE}" pid="5" name="DisplayComments">
    <vt:bool>true</vt:bool>
  </property>
  <property fmtid="{D5CDD505-2E9C-101B-9397-08002B2CF9AE}" pid="6" name="AllowComments">
    <vt:bool>true</vt:bool>
  </property>
  <property fmtid="{D5CDD505-2E9C-101B-9397-08002B2CF9AE}" pid="7" name="Sprogvalg">
    <vt:lpwstr>2</vt:lpwstr>
  </property>
  <property fmtid="{D5CDD505-2E9C-101B-9397-08002B2CF9AE}" pid="8" name="HideInRollups">
    <vt:bool>false</vt:bool>
  </property>
  <property fmtid="{D5CDD505-2E9C-101B-9397-08002B2CF9AE}" pid="9" name="Revisionsdato">
    <vt:filetime>2014-12-16T08:37:00Z</vt:filetime>
  </property>
  <property fmtid="{D5CDD505-2E9C-101B-9397-08002B2CF9AE}" pid="10" name="WebInfo_FinansieringsLink">
    <vt:lpwstr>0893b4bf-225b-4558-907f-02d597aa030b</vt:lpwstr>
  </property>
  <property fmtid="{D5CDD505-2E9C-101B-9397-08002B2CF9AE}" pid="11" name="EnclosureFor">
    <vt:lpwstr/>
  </property>
  <property fmtid="{D5CDD505-2E9C-101B-9397-08002B2CF9AE}" pid="12" name="KnowledgeArticle">
    <vt:bool>false</vt:bool>
  </property>
</Properties>
</file>